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oweav\Hedin Environmental Dropbox\Active Projects\Upper Two Lick assessment\Reports\Interim and final reports\Final Report\Final Report Package\"/>
    </mc:Choice>
  </mc:AlternateContent>
  <xr:revisionPtr revIDLastSave="0" documentId="13_ncr:1_{9E07CB86-AB82-4320-BC9B-CA9AE23ACD3D}" xr6:coauthVersionLast="47" xr6:coauthVersionMax="47" xr10:uidLastSave="{00000000-0000-0000-0000-000000000000}"/>
  <bookViews>
    <workbookView xWindow="-108" yWindow="-108" windowWidth="23256" windowHeight="13896" tabRatio="772" xr2:uid="{67BF4D0B-57FA-4490-9066-6FEBA282D461}"/>
  </bookViews>
  <sheets>
    <sheet name="Data Details" sheetId="25" r:id="rId1"/>
    <sheet name="Sampling Locations" sheetId="26" r:id="rId2"/>
    <sheet name="Property Owners" sheetId="27" r:id="rId3"/>
    <sheet name="Chemical Data" sheetId="1" r:id="rId4"/>
    <sheet name="Dixon Run" sheetId="7" r:id="rId5"/>
    <sheet name="Sample Run" sheetId="11" r:id="rId6"/>
    <sheet name="Penn Run" sheetId="15" r:id="rId7"/>
    <sheet name="Instream Data" sheetId="13" r:id="rId8"/>
  </sheets>
  <definedNames>
    <definedName name="_xlnm._FilterDatabase" localSheetId="3" hidden="1">'Chemical Data'!$A$1:$AV$8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73" i="15" l="1"/>
  <c r="K35" i="15"/>
  <c r="L35" i="15"/>
  <c r="M35" i="15"/>
  <c r="N35" i="15"/>
  <c r="O35" i="15"/>
  <c r="P35" i="15"/>
  <c r="Q35" i="15"/>
  <c r="R35" i="15"/>
  <c r="S35" i="15"/>
  <c r="U35" i="15"/>
  <c r="V35" i="15"/>
  <c r="W35" i="15"/>
  <c r="X35" i="15"/>
  <c r="Y35" i="15"/>
  <c r="Z35" i="15"/>
  <c r="AA35" i="15"/>
  <c r="AB35" i="15"/>
  <c r="AC35" i="15"/>
  <c r="AD35" i="15"/>
  <c r="AE35" i="15"/>
  <c r="AF35" i="15"/>
  <c r="AG35" i="15"/>
  <c r="AH35" i="15"/>
  <c r="AI35" i="15"/>
  <c r="AJ35" i="15"/>
  <c r="AK35" i="15"/>
  <c r="AL35" i="15"/>
  <c r="AM35" i="15"/>
  <c r="N225" i="1" l="1"/>
  <c r="AQ224" i="1"/>
  <c r="AP224" i="1"/>
  <c r="Y224" i="1"/>
  <c r="T224" i="1" s="1"/>
  <c r="AO224" i="1"/>
  <c r="AQ601" i="1"/>
  <c r="AP601" i="1"/>
  <c r="Y601" i="1"/>
  <c r="T601" i="1" s="1"/>
  <c r="AO601" i="1"/>
  <c r="AQ585" i="1"/>
  <c r="AP585" i="1"/>
  <c r="Y585" i="1"/>
  <c r="T585" i="1" s="1"/>
  <c r="AO585" i="1"/>
  <c r="L83" i="15"/>
  <c r="M83" i="15"/>
  <c r="N83" i="15"/>
  <c r="P83" i="15"/>
  <c r="Q83" i="15"/>
  <c r="R83" i="15"/>
  <c r="S83" i="15"/>
  <c r="X83" i="15"/>
  <c r="Z83" i="15"/>
  <c r="AA83" i="15"/>
  <c r="AB83" i="15"/>
  <c r="AK83" i="15"/>
  <c r="AL83" i="15"/>
  <c r="W83" i="15"/>
  <c r="AN82" i="15"/>
  <c r="AO82" i="15"/>
  <c r="AP82" i="15"/>
  <c r="AQ82" i="15"/>
  <c r="AR82" i="15"/>
  <c r="AS82" i="15"/>
  <c r="T82" i="15" a="1"/>
  <c r="T82" i="15" s="1"/>
  <c r="AN503" i="1"/>
  <c r="AO503" i="1"/>
  <c r="AP503" i="1"/>
  <c r="AQ503" i="1"/>
  <c r="AR503" i="1"/>
  <c r="AS503" i="1"/>
  <c r="T503" i="1" a="1"/>
  <c r="T503" i="1" s="1"/>
  <c r="T488" i="1" a="1"/>
  <c r="T488" i="1" s="1"/>
  <c r="AN488" i="1"/>
  <c r="AO488" i="1"/>
  <c r="AP488" i="1"/>
  <c r="AQ488" i="1"/>
  <c r="AR488" i="1"/>
  <c r="AS488" i="1"/>
  <c r="AN474" i="1"/>
  <c r="AO474" i="1"/>
  <c r="AP474" i="1"/>
  <c r="AQ474" i="1"/>
  <c r="AR474" i="1"/>
  <c r="AS474" i="1"/>
  <c r="T474" i="1" a="1"/>
  <c r="T474" i="1" s="1"/>
  <c r="AP460" i="1"/>
  <c r="AN460" i="1"/>
  <c r="AO460" i="1"/>
  <c r="AQ460" i="1"/>
  <c r="AR460" i="1"/>
  <c r="AS460" i="1"/>
  <c r="T460" i="1" a="1"/>
  <c r="T460" i="1" s="1"/>
  <c r="AN224" i="1" l="1"/>
  <c r="AS224" i="1"/>
  <c r="AN601" i="1"/>
  <c r="AS601" i="1"/>
  <c r="AN585" i="1"/>
  <c r="AS585" i="1"/>
  <c r="AP500" i="1"/>
  <c r="C73" i="7" l="1"/>
  <c r="E73" i="7"/>
  <c r="H73" i="7"/>
  <c r="J73" i="7"/>
  <c r="L73" i="7"/>
  <c r="M73" i="7"/>
  <c r="N73" i="7"/>
  <c r="O73" i="7"/>
  <c r="P73" i="7"/>
  <c r="Q73" i="7"/>
  <c r="R73" i="7"/>
  <c r="S73" i="7"/>
  <c r="T73" i="7"/>
  <c r="U73" i="7"/>
  <c r="V73" i="7"/>
  <c r="W73" i="7"/>
  <c r="X73" i="7"/>
  <c r="Z73" i="7"/>
  <c r="AA73" i="7"/>
  <c r="AB73" i="7"/>
  <c r="AC73" i="7"/>
  <c r="AD73" i="7"/>
  <c r="AE73" i="7"/>
  <c r="AF73" i="7"/>
  <c r="AG73" i="7"/>
  <c r="AH73" i="7"/>
  <c r="AI73" i="7"/>
  <c r="AJ73" i="7"/>
  <c r="AK73" i="7"/>
  <c r="AL73" i="7"/>
  <c r="AM73" i="7"/>
  <c r="AN73" i="7"/>
  <c r="AO73" i="7"/>
  <c r="AP73" i="7"/>
  <c r="AQ73" i="7"/>
  <c r="AS73" i="7"/>
  <c r="C56" i="7"/>
  <c r="H56" i="7"/>
  <c r="J56" i="7"/>
  <c r="L56" i="7"/>
  <c r="M56" i="7"/>
  <c r="N56" i="7"/>
  <c r="O56" i="7"/>
  <c r="P56" i="7"/>
  <c r="Q56" i="7"/>
  <c r="R56" i="7"/>
  <c r="S56" i="7"/>
  <c r="T56" i="7"/>
  <c r="U56" i="7"/>
  <c r="V56" i="7"/>
  <c r="W56" i="7"/>
  <c r="X56" i="7"/>
  <c r="Z56" i="7"/>
  <c r="AA56" i="7"/>
  <c r="AB56" i="7"/>
  <c r="AC56" i="7"/>
  <c r="AD56" i="7"/>
  <c r="AE56" i="7"/>
  <c r="AF56" i="7"/>
  <c r="AG56" i="7"/>
  <c r="AH56" i="7"/>
  <c r="AI56" i="7"/>
  <c r="AJ56" i="7"/>
  <c r="AK56" i="7"/>
  <c r="AL56" i="7"/>
  <c r="AM56" i="7"/>
  <c r="AN56" i="7"/>
  <c r="AO56" i="7"/>
  <c r="AP56" i="7"/>
  <c r="AQ56" i="7"/>
  <c r="AS56" i="7"/>
  <c r="C163" i="15"/>
  <c r="E163" i="15"/>
  <c r="H163" i="15"/>
  <c r="J163" i="15"/>
  <c r="L163" i="15"/>
  <c r="M163" i="15"/>
  <c r="N163" i="15"/>
  <c r="O163" i="15"/>
  <c r="P163" i="15"/>
  <c r="Q163" i="15"/>
  <c r="R163" i="15"/>
  <c r="S163" i="15"/>
  <c r="T163" i="15"/>
  <c r="W163" i="15"/>
  <c r="X163" i="15"/>
  <c r="Z163" i="15"/>
  <c r="AA163" i="15"/>
  <c r="AB163" i="15"/>
  <c r="AC163" i="15"/>
  <c r="AD163" i="15"/>
  <c r="AE163" i="15"/>
  <c r="AF163" i="15"/>
  <c r="AG163" i="15"/>
  <c r="AH163" i="15"/>
  <c r="AI163" i="15"/>
  <c r="AJ163" i="15"/>
  <c r="AK163" i="15"/>
  <c r="AL163" i="15"/>
  <c r="AM163" i="15"/>
  <c r="AN163" i="15"/>
  <c r="AO163" i="15"/>
  <c r="AP163" i="15"/>
  <c r="AQ163" i="15"/>
  <c r="AR163" i="15"/>
  <c r="AS163" i="15"/>
  <c r="J145" i="15"/>
  <c r="L145" i="15"/>
  <c r="M145" i="15"/>
  <c r="N145" i="15"/>
  <c r="O145" i="15"/>
  <c r="P145" i="15"/>
  <c r="Q145" i="15"/>
  <c r="R145" i="15"/>
  <c r="S145" i="15"/>
  <c r="T145" i="15"/>
  <c r="W145" i="15"/>
  <c r="X145" i="15"/>
  <c r="Z145" i="15"/>
  <c r="AA145" i="15"/>
  <c r="AB145" i="15"/>
  <c r="AC145" i="15"/>
  <c r="AD145" i="15"/>
  <c r="AE145" i="15"/>
  <c r="AF145" i="15"/>
  <c r="AG145" i="15"/>
  <c r="AH145" i="15"/>
  <c r="AI145" i="15"/>
  <c r="AJ145" i="15"/>
  <c r="AK145" i="15"/>
  <c r="AL145" i="15"/>
  <c r="AM145" i="15"/>
  <c r="AN145" i="15"/>
  <c r="AO145" i="15"/>
  <c r="AP145" i="15"/>
  <c r="AQ145" i="15"/>
  <c r="AR145" i="15"/>
  <c r="AS145" i="15"/>
  <c r="J130" i="15"/>
  <c r="L130" i="15"/>
  <c r="M130" i="15"/>
  <c r="N130" i="15"/>
  <c r="O130" i="15"/>
  <c r="P130" i="15"/>
  <c r="Q130" i="15"/>
  <c r="R130" i="15"/>
  <c r="S130" i="15"/>
  <c r="T130" i="15"/>
  <c r="W130" i="15"/>
  <c r="X130" i="15"/>
  <c r="Z130" i="15"/>
  <c r="AA130" i="15"/>
  <c r="AB130" i="15"/>
  <c r="AC130" i="15"/>
  <c r="AD130" i="15"/>
  <c r="AE130" i="15"/>
  <c r="AF130" i="15"/>
  <c r="AG130" i="15"/>
  <c r="AH130" i="15"/>
  <c r="AI130" i="15"/>
  <c r="AJ130" i="15"/>
  <c r="AK130" i="15"/>
  <c r="AL130" i="15"/>
  <c r="AM130" i="15"/>
  <c r="AN130" i="15"/>
  <c r="AO130" i="15"/>
  <c r="AP130" i="15"/>
  <c r="AQ130" i="15"/>
  <c r="AR130" i="15"/>
  <c r="AS130" i="15"/>
  <c r="J115" i="15"/>
  <c r="L115" i="15"/>
  <c r="M115" i="15"/>
  <c r="N115" i="15"/>
  <c r="O115" i="15"/>
  <c r="P115" i="15"/>
  <c r="Q115" i="15"/>
  <c r="S115" i="15"/>
  <c r="T115" i="15"/>
  <c r="W115" i="15"/>
  <c r="X115" i="15"/>
  <c r="Z115" i="15"/>
  <c r="AA115" i="15"/>
  <c r="AB115" i="15"/>
  <c r="AC115" i="15"/>
  <c r="AD115" i="15"/>
  <c r="AE115" i="15"/>
  <c r="AF115" i="15"/>
  <c r="AG115" i="15"/>
  <c r="AH115" i="15"/>
  <c r="AI115" i="15"/>
  <c r="AJ115" i="15"/>
  <c r="AK115" i="15"/>
  <c r="AL115" i="15"/>
  <c r="AM115" i="15"/>
  <c r="AN115" i="15"/>
  <c r="AO115" i="15"/>
  <c r="AP115" i="15"/>
  <c r="AQ115" i="15"/>
  <c r="AR115" i="15"/>
  <c r="AS115" i="15"/>
  <c r="T459" i="1" a="1"/>
  <c r="T459" i="1" s="1"/>
  <c r="T114" i="15" s="1"/>
  <c r="AR601" i="1"/>
  <c r="AR56" i="7" s="1"/>
  <c r="AR585" i="1"/>
  <c r="AR73" i="7" s="1"/>
  <c r="AR224" i="1"/>
  <c r="C162" i="15"/>
  <c r="E162" i="15"/>
  <c r="H162" i="15"/>
  <c r="J162" i="15"/>
  <c r="L162" i="15"/>
  <c r="M162" i="15"/>
  <c r="N162" i="15"/>
  <c r="O162" i="15"/>
  <c r="P162" i="15"/>
  <c r="Q162" i="15"/>
  <c r="R162" i="15"/>
  <c r="S162" i="15"/>
  <c r="W162" i="15"/>
  <c r="X162" i="15"/>
  <c r="Z162" i="15"/>
  <c r="AA162" i="15"/>
  <c r="AB162" i="15"/>
  <c r="AC162" i="15"/>
  <c r="AD162" i="15"/>
  <c r="AE162" i="15"/>
  <c r="AF162" i="15"/>
  <c r="AG162" i="15"/>
  <c r="AH162" i="15"/>
  <c r="AI162" i="15"/>
  <c r="AJ162" i="15"/>
  <c r="AK162" i="15"/>
  <c r="AL162" i="15"/>
  <c r="AM162" i="15"/>
  <c r="J144" i="15"/>
  <c r="L144" i="15"/>
  <c r="M144" i="15"/>
  <c r="N144" i="15"/>
  <c r="O144" i="15"/>
  <c r="P144" i="15"/>
  <c r="Q144" i="15"/>
  <c r="R144" i="15"/>
  <c r="S144" i="15"/>
  <c r="W144" i="15"/>
  <c r="X144" i="15"/>
  <c r="Z144" i="15"/>
  <c r="AA144" i="15"/>
  <c r="AB144" i="15"/>
  <c r="AC144" i="15"/>
  <c r="AD144" i="15"/>
  <c r="AE144" i="15"/>
  <c r="AF144" i="15"/>
  <c r="AG144" i="15"/>
  <c r="AH144" i="15"/>
  <c r="AI144" i="15"/>
  <c r="AJ144" i="15"/>
  <c r="AK144" i="15"/>
  <c r="AL144" i="15"/>
  <c r="AM144" i="15"/>
  <c r="J129" i="15"/>
  <c r="L129" i="15"/>
  <c r="M129" i="15"/>
  <c r="N129" i="15"/>
  <c r="O129" i="15"/>
  <c r="P129" i="15"/>
  <c r="Q129" i="15"/>
  <c r="R129" i="15"/>
  <c r="S129" i="15"/>
  <c r="W129" i="15"/>
  <c r="X129" i="15"/>
  <c r="Z129" i="15"/>
  <c r="AA129" i="15"/>
  <c r="AB129" i="15"/>
  <c r="AC129" i="15"/>
  <c r="AD129" i="15"/>
  <c r="AE129" i="15"/>
  <c r="AF129" i="15"/>
  <c r="AG129" i="15"/>
  <c r="AH129" i="15"/>
  <c r="AI129" i="15"/>
  <c r="AJ129" i="15"/>
  <c r="AK129" i="15"/>
  <c r="AL129" i="15"/>
  <c r="AM129" i="15"/>
  <c r="J114" i="15"/>
  <c r="L114" i="15"/>
  <c r="M114" i="15"/>
  <c r="N114" i="15"/>
  <c r="O114" i="15"/>
  <c r="P114" i="15"/>
  <c r="Q114" i="15"/>
  <c r="S114" i="15"/>
  <c r="W114" i="15"/>
  <c r="X114" i="15"/>
  <c r="Z114" i="15"/>
  <c r="AA114" i="15"/>
  <c r="AB114" i="15"/>
  <c r="AC114" i="15"/>
  <c r="AD114" i="15"/>
  <c r="AE114" i="15"/>
  <c r="AF114" i="15"/>
  <c r="AG114" i="15"/>
  <c r="AH114" i="15"/>
  <c r="AI114" i="15"/>
  <c r="AJ114" i="15"/>
  <c r="AK114" i="15"/>
  <c r="AL114" i="15"/>
  <c r="AM114" i="15"/>
  <c r="C55" i="7"/>
  <c r="H55" i="7"/>
  <c r="J55" i="7"/>
  <c r="L55" i="7"/>
  <c r="M55" i="7"/>
  <c r="N55" i="7"/>
  <c r="O55" i="7"/>
  <c r="P55" i="7"/>
  <c r="Q55" i="7"/>
  <c r="R55" i="7"/>
  <c r="S55" i="7"/>
  <c r="U55" i="7"/>
  <c r="V55" i="7"/>
  <c r="W55" i="7"/>
  <c r="X55" i="7"/>
  <c r="Z55" i="7"/>
  <c r="AA55" i="7"/>
  <c r="AB55" i="7"/>
  <c r="AC55" i="7"/>
  <c r="AD55" i="7"/>
  <c r="AE55" i="7"/>
  <c r="AF55" i="7"/>
  <c r="AG55" i="7"/>
  <c r="AH55" i="7"/>
  <c r="AI55" i="7"/>
  <c r="AJ55" i="7"/>
  <c r="AK55" i="7"/>
  <c r="AL55" i="7"/>
  <c r="AM55" i="7"/>
  <c r="C72" i="7"/>
  <c r="E72" i="7"/>
  <c r="H72" i="7"/>
  <c r="J72" i="7"/>
  <c r="L72" i="7"/>
  <c r="M72" i="7"/>
  <c r="N72" i="7"/>
  <c r="O72" i="7"/>
  <c r="P72" i="7"/>
  <c r="Q72" i="7"/>
  <c r="R72" i="7"/>
  <c r="S72" i="7"/>
  <c r="U72" i="7"/>
  <c r="V72" i="7"/>
  <c r="W72" i="7"/>
  <c r="X72" i="7"/>
  <c r="Z72" i="7"/>
  <c r="AA72" i="7"/>
  <c r="AB72" i="7"/>
  <c r="AC72" i="7"/>
  <c r="AD72" i="7"/>
  <c r="AE72" i="7"/>
  <c r="AF72" i="7"/>
  <c r="AG72" i="7"/>
  <c r="AH72" i="7"/>
  <c r="AI72" i="7"/>
  <c r="AJ72" i="7"/>
  <c r="AK72" i="7"/>
  <c r="AL72" i="7"/>
  <c r="AM72" i="7"/>
  <c r="AN223" i="1"/>
  <c r="AO223" i="1"/>
  <c r="AP223" i="1"/>
  <c r="AQ223" i="1"/>
  <c r="AR223" i="1"/>
  <c r="AS223" i="1"/>
  <c r="Y223" i="1"/>
  <c r="T223" i="1" s="1"/>
  <c r="AN600" i="1"/>
  <c r="AN55" i="7" s="1"/>
  <c r="AO600" i="1"/>
  <c r="AO55" i="7" s="1"/>
  <c r="AP600" i="1"/>
  <c r="AP55" i="7" s="1"/>
  <c r="AQ600" i="1"/>
  <c r="AQ55" i="7" s="1"/>
  <c r="AR600" i="1"/>
  <c r="AR55" i="7" s="1"/>
  <c r="AS600" i="1"/>
  <c r="AS55" i="7" s="1"/>
  <c r="Y600" i="1"/>
  <c r="T600" i="1" s="1"/>
  <c r="T55" i="7" s="1"/>
  <c r="AN584" i="1"/>
  <c r="AN72" i="7" s="1"/>
  <c r="AO584" i="1"/>
  <c r="AO72" i="7" s="1"/>
  <c r="AP584" i="1"/>
  <c r="AP72" i="7" s="1"/>
  <c r="AQ584" i="1"/>
  <c r="AQ72" i="7" s="1"/>
  <c r="AR584" i="1"/>
  <c r="AR72" i="7" s="1"/>
  <c r="AS584" i="1"/>
  <c r="AS72" i="7" s="1"/>
  <c r="Y584" i="1"/>
  <c r="T584" i="1" s="1"/>
  <c r="T72" i="7" s="1"/>
  <c r="AN81" i="15"/>
  <c r="AO81" i="15"/>
  <c r="AP81" i="15"/>
  <c r="AQ81" i="15"/>
  <c r="AR81" i="15"/>
  <c r="AS81" i="15"/>
  <c r="T81" i="15" a="1"/>
  <c r="T81" i="15" s="1"/>
  <c r="AN502" i="1"/>
  <c r="AN162" i="15" s="1"/>
  <c r="AO502" i="1"/>
  <c r="AO162" i="15" s="1"/>
  <c r="AP502" i="1"/>
  <c r="AP162" i="15" s="1"/>
  <c r="AQ502" i="1"/>
  <c r="AQ162" i="15" s="1"/>
  <c r="AR502" i="1"/>
  <c r="AR162" i="15" s="1"/>
  <c r="AS502" i="1"/>
  <c r="AS162" i="15" s="1"/>
  <c r="T502" i="1" a="1"/>
  <c r="T502" i="1" s="1"/>
  <c r="T162" i="15" s="1"/>
  <c r="AN487" i="1"/>
  <c r="AN144" i="15" s="1"/>
  <c r="AO487" i="1"/>
  <c r="AO144" i="15" s="1"/>
  <c r="AP487" i="1"/>
  <c r="AP144" i="15" s="1"/>
  <c r="AQ487" i="1"/>
  <c r="AQ144" i="15" s="1"/>
  <c r="AR487" i="1"/>
  <c r="AR144" i="15" s="1"/>
  <c r="AS487" i="1"/>
  <c r="AS144" i="15" s="1"/>
  <c r="T487" i="1" a="1"/>
  <c r="T487" i="1" s="1"/>
  <c r="T144" i="15" s="1"/>
  <c r="AN459" i="1"/>
  <c r="AN114" i="15" s="1"/>
  <c r="AO459" i="1"/>
  <c r="AO114" i="15" s="1"/>
  <c r="AP459" i="1"/>
  <c r="AP114" i="15" s="1"/>
  <c r="AQ459" i="1"/>
  <c r="AQ114" i="15" s="1"/>
  <c r="AR459" i="1"/>
  <c r="AR114" i="15" s="1"/>
  <c r="AS459" i="1"/>
  <c r="AS114" i="15" s="1"/>
  <c r="AN473" i="1"/>
  <c r="AN129" i="15" s="1"/>
  <c r="AO473" i="1"/>
  <c r="AO129" i="15" s="1"/>
  <c r="AP473" i="1"/>
  <c r="AP129" i="15" s="1"/>
  <c r="AQ473" i="1"/>
  <c r="AQ129" i="15" s="1"/>
  <c r="AR473" i="1"/>
  <c r="AR129" i="15" s="1"/>
  <c r="AS473" i="1"/>
  <c r="AS129" i="15" s="1"/>
  <c r="T473" i="1" a="1"/>
  <c r="T473" i="1" s="1"/>
  <c r="T129" i="15" s="1"/>
  <c r="L113" i="15"/>
  <c r="Y222" i="1"/>
  <c r="T222" i="1" s="1"/>
  <c r="AN222" i="1"/>
  <c r="AO222" i="1"/>
  <c r="AP222" i="1"/>
  <c r="AQ222" i="1"/>
  <c r="AR222" i="1"/>
  <c r="AS222" i="1"/>
  <c r="AN598" i="1"/>
  <c r="AO598" i="1"/>
  <c r="AP598" i="1"/>
  <c r="AQ598" i="1"/>
  <c r="AS598" i="1"/>
  <c r="AN599" i="1"/>
  <c r="AO599" i="1"/>
  <c r="AP599" i="1"/>
  <c r="AQ599" i="1"/>
  <c r="AR599" i="1"/>
  <c r="AS599" i="1"/>
  <c r="Y599" i="1"/>
  <c r="T599" i="1" s="1"/>
  <c r="AN583" i="1"/>
  <c r="AO583" i="1"/>
  <c r="AP583" i="1"/>
  <c r="AQ583" i="1"/>
  <c r="AR583" i="1"/>
  <c r="AS583" i="1"/>
  <c r="Y583" i="1"/>
  <c r="T583" i="1" s="1"/>
  <c r="T80" i="15" a="1"/>
  <c r="T80" i="15" s="1"/>
  <c r="AN80" i="15"/>
  <c r="AO80" i="15"/>
  <c r="AP80" i="15"/>
  <c r="AQ80" i="15"/>
  <c r="AR80" i="15"/>
  <c r="AS80" i="15"/>
  <c r="T501" i="1" a="1"/>
  <c r="T501" i="1" s="1"/>
  <c r="AN501" i="1"/>
  <c r="AO501" i="1"/>
  <c r="AP501" i="1"/>
  <c r="AQ501" i="1"/>
  <c r="AR501" i="1"/>
  <c r="AS501" i="1"/>
  <c r="AN472" i="1"/>
  <c r="AO472" i="1"/>
  <c r="AP472" i="1"/>
  <c r="AQ472" i="1"/>
  <c r="AR472" i="1"/>
  <c r="AS472" i="1"/>
  <c r="AN486" i="1"/>
  <c r="AO486" i="1"/>
  <c r="AP486" i="1"/>
  <c r="AQ486" i="1"/>
  <c r="AR486" i="1"/>
  <c r="AS486" i="1"/>
  <c r="T486" i="1" a="1"/>
  <c r="T486" i="1" s="1"/>
  <c r="T472" i="1" a="1"/>
  <c r="T472" i="1" s="1"/>
  <c r="AN458" i="1"/>
  <c r="AO458" i="1"/>
  <c r="AP458" i="1"/>
  <c r="AQ458" i="1"/>
  <c r="AR458" i="1"/>
  <c r="AS458" i="1"/>
  <c r="T458" i="1" a="1"/>
  <c r="T458" i="1" s="1"/>
  <c r="C60" i="7"/>
  <c r="K168" i="15"/>
  <c r="O168" i="15"/>
  <c r="Y168" i="15"/>
  <c r="K83" i="1"/>
  <c r="K10" i="1"/>
  <c r="K24" i="7"/>
  <c r="K236" i="1"/>
  <c r="L236" i="1"/>
  <c r="M236" i="1"/>
  <c r="N236" i="1"/>
  <c r="O236" i="1"/>
  <c r="P236" i="1"/>
  <c r="Q236" i="1"/>
  <c r="R236" i="1"/>
  <c r="S236" i="1"/>
  <c r="U236" i="1"/>
  <c r="V236" i="1"/>
  <c r="W236" i="1"/>
  <c r="X236" i="1"/>
  <c r="Z236" i="1"/>
  <c r="AA236" i="1"/>
  <c r="AB236" i="1"/>
  <c r="AC236" i="1"/>
  <c r="AD236" i="1"/>
  <c r="AE236" i="1"/>
  <c r="AF236" i="1"/>
  <c r="AG236" i="1"/>
  <c r="AH236" i="1"/>
  <c r="AI236" i="1"/>
  <c r="AJ236" i="1"/>
  <c r="AK236" i="1"/>
  <c r="AL236" i="1"/>
  <c r="AM236" i="1"/>
  <c r="J236" i="1"/>
  <c r="AB381" i="1"/>
  <c r="N381" i="1"/>
  <c r="T68" i="15" a="1"/>
  <c r="T68" i="15" s="1"/>
  <c r="T67" i="15" a="1"/>
  <c r="T67" i="15" s="1"/>
  <c r="T32" i="15" a="1"/>
  <c r="T32" i="15" s="1"/>
  <c r="T33" i="15" a="1"/>
  <c r="T33" i="15" s="1"/>
  <c r="T34" i="15" a="1"/>
  <c r="T34" i="15" s="1"/>
  <c r="T31" i="15" a="1"/>
  <c r="T31" i="15" s="1"/>
  <c r="Y588" i="1"/>
  <c r="T588" i="1" s="1"/>
  <c r="Y590" i="1"/>
  <c r="T590" i="1" s="1"/>
  <c r="Y591" i="1"/>
  <c r="T591" i="1" s="1"/>
  <c r="Y592" i="1"/>
  <c r="T592" i="1" s="1"/>
  <c r="Y593" i="1"/>
  <c r="T593" i="1" s="1"/>
  <c r="Y594" i="1"/>
  <c r="T594" i="1" s="1"/>
  <c r="Y595" i="1"/>
  <c r="T595" i="1" s="1"/>
  <c r="Y596" i="1"/>
  <c r="T596" i="1" s="1"/>
  <c r="Y597" i="1"/>
  <c r="T597" i="1" s="1"/>
  <c r="Y598" i="1"/>
  <c r="T598" i="1" s="1"/>
  <c r="Y587" i="1"/>
  <c r="T587" i="1" s="1"/>
  <c r="Y572" i="1"/>
  <c r="T572" i="1" s="1"/>
  <c r="Y573" i="1"/>
  <c r="T573" i="1" s="1"/>
  <c r="Y574" i="1"/>
  <c r="T574" i="1" s="1"/>
  <c r="Y575" i="1"/>
  <c r="T575" i="1" s="1"/>
  <c r="Y576" i="1"/>
  <c r="T576" i="1" s="1"/>
  <c r="Y577" i="1"/>
  <c r="T577" i="1" s="1"/>
  <c r="Y578" i="1"/>
  <c r="T578" i="1" s="1"/>
  <c r="Y579" i="1"/>
  <c r="T579" i="1" s="1"/>
  <c r="Y580" i="1"/>
  <c r="T580" i="1" s="1"/>
  <c r="Y581" i="1"/>
  <c r="T581" i="1" s="1"/>
  <c r="Y582" i="1"/>
  <c r="T582" i="1" s="1"/>
  <c r="Y571" i="1"/>
  <c r="T571" i="1" s="1"/>
  <c r="Y561" i="1"/>
  <c r="T561" i="1" s="1"/>
  <c r="Y562" i="1"/>
  <c r="T562" i="1" s="1"/>
  <c r="Y563" i="1"/>
  <c r="T563" i="1" s="1"/>
  <c r="Y560" i="1"/>
  <c r="T560" i="1" s="1"/>
  <c r="Y557" i="1"/>
  <c r="T557" i="1" s="1"/>
  <c r="Y555" i="1"/>
  <c r="T555" i="1" s="1"/>
  <c r="Y556" i="1"/>
  <c r="T556" i="1" s="1"/>
  <c r="Y554" i="1"/>
  <c r="T554" i="1" s="1"/>
  <c r="Y535" i="1"/>
  <c r="T535" i="1" s="1"/>
  <c r="Y247" i="1"/>
  <c r="T247" i="1" s="1"/>
  <c r="Y248" i="1"/>
  <c r="T248" i="1" s="1"/>
  <c r="Y249" i="1"/>
  <c r="T249" i="1" s="1"/>
  <c r="Y246" i="1"/>
  <c r="T246" i="1" s="1"/>
  <c r="Y239" i="1"/>
  <c r="T239" i="1" s="1"/>
  <c r="Y240" i="1"/>
  <c r="T240" i="1" s="1"/>
  <c r="Y238" i="1"/>
  <c r="T238" i="1" s="1"/>
  <c r="Y235" i="1"/>
  <c r="T235" i="1" s="1"/>
  <c r="Y234" i="1"/>
  <c r="T234" i="1" s="1"/>
  <c r="Y199" i="1"/>
  <c r="T199" i="1" s="1"/>
  <c r="Y200" i="1"/>
  <c r="T200" i="1" s="1"/>
  <c r="Y198" i="1"/>
  <c r="T198" i="1" s="1"/>
  <c r="T192" i="1" a="1"/>
  <c r="T192" i="1" s="1"/>
  <c r="Y189" i="1"/>
  <c r="T189" i="1" s="1"/>
  <c r="Y190" i="1"/>
  <c r="T190" i="1" s="1"/>
  <c r="Y191" i="1"/>
  <c r="T191" i="1" s="1"/>
  <c r="Y193" i="1"/>
  <c r="T193" i="1" s="1"/>
  <c r="Y194" i="1"/>
  <c r="T194" i="1" s="1"/>
  <c r="Y188" i="1"/>
  <c r="T188" i="1" s="1"/>
  <c r="T140" i="1" a="1"/>
  <c r="T140" i="1" s="1"/>
  <c r="T35" i="15" l="1"/>
  <c r="Y130" i="15"/>
  <c r="Y163" i="15"/>
  <c r="Y145" i="15"/>
  <c r="Y115" i="15"/>
  <c r="Y162" i="15"/>
  <c r="T236" i="1"/>
  <c r="Y236" i="1"/>
  <c r="Y114" i="15"/>
  <c r="Y144" i="15"/>
  <c r="Y129" i="15"/>
  <c r="Y70" i="13"/>
  <c r="Y380" i="1"/>
  <c r="T380" i="1" s="1"/>
  <c r="Y375" i="1"/>
  <c r="T375" i="1" s="1"/>
  <c r="Y376" i="1"/>
  <c r="T376" i="1" s="1"/>
  <c r="Y377" i="1"/>
  <c r="T377" i="1" s="1"/>
  <c r="Y378" i="1"/>
  <c r="T378" i="1" s="1"/>
  <c r="Y379" i="1"/>
  <c r="T379" i="1" s="1"/>
  <c r="Y214" i="1"/>
  <c r="T214" i="1" s="1"/>
  <c r="Y215" i="1"/>
  <c r="T215" i="1" s="1"/>
  <c r="Y216" i="1"/>
  <c r="T216" i="1" s="1"/>
  <c r="Y217" i="1"/>
  <c r="T217" i="1" s="1"/>
  <c r="Y218" i="1"/>
  <c r="T218" i="1" s="1"/>
  <c r="Y219" i="1"/>
  <c r="T219" i="1" s="1"/>
  <c r="Y220" i="1"/>
  <c r="T220" i="1" s="1"/>
  <c r="Y221" i="1"/>
  <c r="T221" i="1" s="1"/>
  <c r="Y213" i="1"/>
  <c r="T213" i="1" s="1"/>
  <c r="K185" i="1" l="1"/>
  <c r="L185" i="1"/>
  <c r="M185" i="1"/>
  <c r="N185" i="1"/>
  <c r="O185" i="1"/>
  <c r="P185" i="1"/>
  <c r="R185" i="1"/>
  <c r="S185" i="1"/>
  <c r="W185" i="1"/>
  <c r="X185" i="1"/>
  <c r="Z185" i="1"/>
  <c r="AA185" i="1"/>
  <c r="AB185" i="1"/>
  <c r="AC185" i="1"/>
  <c r="AD185" i="1"/>
  <c r="AE185" i="1"/>
  <c r="AF185" i="1"/>
  <c r="AG185" i="1"/>
  <c r="AH185" i="1"/>
  <c r="AI185" i="1"/>
  <c r="AJ185" i="1"/>
  <c r="AK185" i="1"/>
  <c r="AL185" i="1"/>
  <c r="AO182" i="1"/>
  <c r="T182" i="1" a="1"/>
  <c r="T182" i="1" s="1"/>
  <c r="T181" i="1" a="1"/>
  <c r="T181" i="1" s="1"/>
  <c r="T178" i="1" a="1"/>
  <c r="T178" i="1" s="1"/>
  <c r="T176" i="1" a="1"/>
  <c r="T176" i="1" s="1"/>
  <c r="AN173" i="1"/>
  <c r="AO173" i="1"/>
  <c r="AP173" i="1"/>
  <c r="AQ173" i="1"/>
  <c r="AR173" i="1"/>
  <c r="AS173" i="1"/>
  <c r="AN174" i="1"/>
  <c r="AO174" i="1"/>
  <c r="AP174" i="1"/>
  <c r="AQ174" i="1"/>
  <c r="AR174" i="1"/>
  <c r="AS174" i="1"/>
  <c r="AN175" i="1"/>
  <c r="AO175" i="1"/>
  <c r="AP175" i="1"/>
  <c r="AQ175" i="1"/>
  <c r="AR175" i="1"/>
  <c r="AS175" i="1"/>
  <c r="AN176" i="1"/>
  <c r="AO176" i="1"/>
  <c r="AP176" i="1"/>
  <c r="AQ176" i="1"/>
  <c r="AR176" i="1"/>
  <c r="AS176" i="1"/>
  <c r="AN177" i="1"/>
  <c r="AO177" i="1"/>
  <c r="AP177" i="1"/>
  <c r="AQ177" i="1"/>
  <c r="AR177" i="1"/>
  <c r="AS177" i="1"/>
  <c r="AN178" i="1"/>
  <c r="AO178" i="1"/>
  <c r="AP178" i="1"/>
  <c r="AQ178" i="1"/>
  <c r="AR178" i="1"/>
  <c r="AS178" i="1"/>
  <c r="AN179" i="1"/>
  <c r="AO179" i="1"/>
  <c r="AP179" i="1"/>
  <c r="AQ179" i="1"/>
  <c r="AR179" i="1"/>
  <c r="AS179" i="1"/>
  <c r="AN180" i="1"/>
  <c r="AO180" i="1"/>
  <c r="AP180" i="1"/>
  <c r="AQ180" i="1"/>
  <c r="AR180" i="1"/>
  <c r="AS180" i="1"/>
  <c r="AN181" i="1"/>
  <c r="AO181" i="1"/>
  <c r="AP181" i="1"/>
  <c r="AQ181" i="1"/>
  <c r="AR181" i="1"/>
  <c r="AS181" i="1"/>
  <c r="AN182" i="1"/>
  <c r="AP182" i="1"/>
  <c r="AQ182" i="1"/>
  <c r="AR182" i="1"/>
  <c r="AS182" i="1"/>
  <c r="AN172" i="1"/>
  <c r="AO172" i="1"/>
  <c r="AP172" i="1"/>
  <c r="AQ172" i="1"/>
  <c r="AR172" i="1"/>
  <c r="AS172" i="1"/>
  <c r="T173" i="1" a="1"/>
  <c r="T173" i="1" s="1"/>
  <c r="T174" i="1" a="1"/>
  <c r="T174" i="1" s="1"/>
  <c r="T169" i="1" a="1"/>
  <c r="T169" i="1" s="1"/>
  <c r="T170" i="1" a="1"/>
  <c r="T170" i="1" s="1"/>
  <c r="T172" i="1" a="1"/>
  <c r="T172" i="1" s="1"/>
  <c r="AN169" i="1"/>
  <c r="AO169" i="1"/>
  <c r="AP169" i="1"/>
  <c r="AQ169" i="1"/>
  <c r="AR169" i="1"/>
  <c r="AS169" i="1"/>
  <c r="T261" i="1" a="1"/>
  <c r="T261" i="1" s="1"/>
  <c r="AN184" i="1"/>
  <c r="AO184" i="1"/>
  <c r="AP184" i="1"/>
  <c r="AQ184" i="1"/>
  <c r="AR184" i="1"/>
  <c r="AS184" i="1"/>
  <c r="T184" i="1" a="1"/>
  <c r="T184" i="1" s="1"/>
  <c r="T183" i="1" a="1"/>
  <c r="T183" i="1" s="1"/>
  <c r="T180" i="1" a="1"/>
  <c r="T180" i="1" s="1"/>
  <c r="AN221" i="1"/>
  <c r="AO221" i="1"/>
  <c r="AP221" i="1"/>
  <c r="AQ221" i="1"/>
  <c r="AR221" i="1"/>
  <c r="AS221" i="1"/>
  <c r="M167" i="1"/>
  <c r="T166" i="1" a="1"/>
  <c r="T166" i="1" s="1"/>
  <c r="AN582" i="1"/>
  <c r="AO582" i="1"/>
  <c r="AP582" i="1"/>
  <c r="AQ582" i="1"/>
  <c r="AR582" i="1"/>
  <c r="AS582" i="1"/>
  <c r="AN79" i="15"/>
  <c r="AO79" i="15"/>
  <c r="AP79" i="15"/>
  <c r="AQ79" i="15"/>
  <c r="AR79" i="15"/>
  <c r="AS79" i="15"/>
  <c r="T79" i="15" a="1"/>
  <c r="T79" i="15" s="1"/>
  <c r="AN500" i="1"/>
  <c r="AO500" i="1"/>
  <c r="AQ500" i="1"/>
  <c r="AR500" i="1"/>
  <c r="AS500" i="1"/>
  <c r="T500" i="1" a="1"/>
  <c r="T500" i="1" s="1"/>
  <c r="AN485" i="1"/>
  <c r="AO485" i="1"/>
  <c r="AP485" i="1"/>
  <c r="AQ485" i="1"/>
  <c r="AR485" i="1"/>
  <c r="AS485" i="1"/>
  <c r="T445" i="1" a="1"/>
  <c r="T445" i="1" s="1"/>
  <c r="T439" i="1" a="1"/>
  <c r="T439" i="1" s="1"/>
  <c r="T440" i="1" a="1"/>
  <c r="T440" i="1" s="1"/>
  <c r="T457" i="1" a="1"/>
  <c r="T457" i="1" s="1"/>
  <c r="T471" i="1" a="1"/>
  <c r="T471" i="1" s="1"/>
  <c r="T485" i="1" a="1"/>
  <c r="T485" i="1" s="1"/>
  <c r="AN471" i="1"/>
  <c r="AO471" i="1"/>
  <c r="AP471" i="1"/>
  <c r="AQ471" i="1"/>
  <c r="AR471" i="1"/>
  <c r="AS471" i="1"/>
  <c r="AN457" i="1"/>
  <c r="AO457" i="1"/>
  <c r="AP457" i="1"/>
  <c r="AQ457" i="1"/>
  <c r="AR457" i="1"/>
  <c r="AS457" i="1"/>
  <c r="AN445" i="1"/>
  <c r="AO445" i="1"/>
  <c r="AP445" i="1"/>
  <c r="AQ445" i="1"/>
  <c r="AR445" i="1"/>
  <c r="AS445" i="1"/>
  <c r="AN440" i="1"/>
  <c r="AO440" i="1"/>
  <c r="AP440" i="1"/>
  <c r="AQ440" i="1"/>
  <c r="AR440" i="1"/>
  <c r="AS440" i="1"/>
  <c r="C161" i="15" l="1"/>
  <c r="E161" i="15"/>
  <c r="H161" i="15"/>
  <c r="J161" i="15"/>
  <c r="L161" i="15"/>
  <c r="M161" i="15"/>
  <c r="N161" i="15"/>
  <c r="O161" i="15"/>
  <c r="P161" i="15"/>
  <c r="Q161" i="15"/>
  <c r="R161" i="15"/>
  <c r="S161" i="15"/>
  <c r="T161" i="15"/>
  <c r="W161" i="15"/>
  <c r="X161" i="15"/>
  <c r="Z161" i="15"/>
  <c r="AA161" i="15"/>
  <c r="AB161" i="15"/>
  <c r="AC161" i="15"/>
  <c r="AD161" i="15"/>
  <c r="AE161" i="15"/>
  <c r="AF161" i="15"/>
  <c r="AG161" i="15"/>
  <c r="AH161" i="15"/>
  <c r="AI161" i="15"/>
  <c r="AJ161" i="15"/>
  <c r="AK161" i="15"/>
  <c r="AL161" i="15"/>
  <c r="AM161" i="15"/>
  <c r="AN161" i="15"/>
  <c r="AO161" i="15"/>
  <c r="AP161" i="15"/>
  <c r="AQ161" i="15"/>
  <c r="AR161" i="15"/>
  <c r="AS161" i="15"/>
  <c r="J143" i="15"/>
  <c r="L143" i="15"/>
  <c r="M143" i="15"/>
  <c r="N143" i="15"/>
  <c r="O143" i="15"/>
  <c r="P143" i="15"/>
  <c r="Q143" i="15"/>
  <c r="R143" i="15"/>
  <c r="S143" i="15"/>
  <c r="T143" i="15"/>
  <c r="W143" i="15"/>
  <c r="X143" i="15"/>
  <c r="Z143" i="15"/>
  <c r="AA143" i="15"/>
  <c r="AB143" i="15"/>
  <c r="AC143" i="15"/>
  <c r="AD143" i="15"/>
  <c r="AE143" i="15"/>
  <c r="AF143" i="15"/>
  <c r="AG143" i="15"/>
  <c r="AH143" i="15"/>
  <c r="AI143" i="15"/>
  <c r="AJ143" i="15"/>
  <c r="AK143" i="15"/>
  <c r="AL143" i="15"/>
  <c r="AM143" i="15"/>
  <c r="AN143" i="15"/>
  <c r="AO143" i="15"/>
  <c r="AP143" i="15"/>
  <c r="AQ143" i="15"/>
  <c r="AR143" i="15"/>
  <c r="AS143" i="15"/>
  <c r="J128" i="15"/>
  <c r="L128" i="15"/>
  <c r="M128" i="15"/>
  <c r="N128" i="15"/>
  <c r="O128" i="15"/>
  <c r="P128" i="15"/>
  <c r="Q128" i="15"/>
  <c r="R128" i="15"/>
  <c r="S128" i="15"/>
  <c r="T128" i="15"/>
  <c r="W128" i="15"/>
  <c r="X128" i="15"/>
  <c r="Z128" i="15"/>
  <c r="AA128" i="15"/>
  <c r="AB128" i="15"/>
  <c r="AC128" i="15"/>
  <c r="AD128" i="15"/>
  <c r="AE128" i="15"/>
  <c r="AF128" i="15"/>
  <c r="AG128" i="15"/>
  <c r="AH128" i="15"/>
  <c r="AI128" i="15"/>
  <c r="AJ128" i="15"/>
  <c r="AK128" i="15"/>
  <c r="AL128" i="15"/>
  <c r="AM128" i="15"/>
  <c r="AN128" i="15"/>
  <c r="AO128" i="15"/>
  <c r="AP128" i="15"/>
  <c r="AQ128" i="15"/>
  <c r="AR128" i="15"/>
  <c r="AS128" i="15"/>
  <c r="J113" i="15"/>
  <c r="M113" i="15"/>
  <c r="N113" i="15"/>
  <c r="O113" i="15"/>
  <c r="P113" i="15"/>
  <c r="Q113" i="15"/>
  <c r="S113" i="15"/>
  <c r="T113" i="15"/>
  <c r="W113" i="15"/>
  <c r="X113" i="15"/>
  <c r="Z113" i="15"/>
  <c r="AA113" i="15"/>
  <c r="AB113" i="15"/>
  <c r="AC113" i="15"/>
  <c r="AD113" i="15"/>
  <c r="AE113" i="15"/>
  <c r="AF113" i="15"/>
  <c r="AG113" i="15"/>
  <c r="AH113" i="15"/>
  <c r="AI113" i="15"/>
  <c r="AJ113" i="15"/>
  <c r="AK113" i="15"/>
  <c r="AL113" i="15"/>
  <c r="AM113" i="15"/>
  <c r="AN113" i="15"/>
  <c r="AO113" i="15"/>
  <c r="AP113" i="15"/>
  <c r="AQ113" i="15"/>
  <c r="AR113" i="15"/>
  <c r="AS113" i="15"/>
  <c r="C71" i="7"/>
  <c r="E71" i="7"/>
  <c r="H71" i="7"/>
  <c r="J71" i="7"/>
  <c r="L71" i="7"/>
  <c r="M71" i="7"/>
  <c r="N71" i="7"/>
  <c r="O71" i="7"/>
  <c r="P71" i="7"/>
  <c r="Q71" i="7"/>
  <c r="R71" i="7"/>
  <c r="S71" i="7"/>
  <c r="T71" i="7"/>
  <c r="U71" i="7"/>
  <c r="V71" i="7"/>
  <c r="W71" i="7"/>
  <c r="X71" i="7"/>
  <c r="Z71" i="7"/>
  <c r="AA71" i="7"/>
  <c r="AB71" i="7"/>
  <c r="AC71" i="7"/>
  <c r="AD71" i="7"/>
  <c r="AE71" i="7"/>
  <c r="AF71" i="7"/>
  <c r="AG71" i="7"/>
  <c r="AH71" i="7"/>
  <c r="AI71" i="7"/>
  <c r="AJ71" i="7"/>
  <c r="AK71" i="7"/>
  <c r="AL71" i="7"/>
  <c r="AM71" i="7"/>
  <c r="AN71" i="7"/>
  <c r="AO71" i="7"/>
  <c r="AP71" i="7"/>
  <c r="AQ71" i="7"/>
  <c r="AR71" i="7"/>
  <c r="AS71" i="7"/>
  <c r="C54" i="7"/>
  <c r="H54" i="7"/>
  <c r="J54" i="7"/>
  <c r="L54" i="7"/>
  <c r="M54" i="7"/>
  <c r="N54" i="7"/>
  <c r="O54" i="7"/>
  <c r="P54" i="7"/>
  <c r="Q54" i="7"/>
  <c r="R54" i="7"/>
  <c r="S54" i="7"/>
  <c r="T54" i="7"/>
  <c r="U54" i="7"/>
  <c r="V54" i="7"/>
  <c r="W54" i="7"/>
  <c r="X54" i="7"/>
  <c r="Z54" i="7"/>
  <c r="AA54" i="7"/>
  <c r="AB54" i="7"/>
  <c r="AC54" i="7"/>
  <c r="AD54" i="7"/>
  <c r="AE54" i="7"/>
  <c r="AF54" i="7"/>
  <c r="AG54" i="7"/>
  <c r="AH54" i="7"/>
  <c r="AI54" i="7"/>
  <c r="AJ54" i="7"/>
  <c r="AK54" i="7"/>
  <c r="AL54" i="7"/>
  <c r="AM54" i="7"/>
  <c r="AN54" i="7"/>
  <c r="AO54" i="7"/>
  <c r="AP54" i="7"/>
  <c r="AQ54" i="7"/>
  <c r="AR54" i="7"/>
  <c r="AS54" i="7"/>
  <c r="Y128" i="15" l="1"/>
  <c r="Y161" i="15"/>
  <c r="Y113" i="15"/>
  <c r="Y143" i="15"/>
  <c r="T180" i="15" l="1" a="1"/>
  <c r="T180" i="15" s="1"/>
  <c r="AN180" i="15"/>
  <c r="AO180" i="15"/>
  <c r="AP180" i="15"/>
  <c r="AQ180" i="15"/>
  <c r="AR180" i="15"/>
  <c r="AS180" i="15"/>
  <c r="J589" i="1"/>
  <c r="Z336" i="1" l="1"/>
  <c r="J70" i="13"/>
  <c r="L70" i="13"/>
  <c r="M70" i="13"/>
  <c r="N70" i="13"/>
  <c r="O70" i="13"/>
  <c r="P70" i="13"/>
  <c r="Q70" i="13"/>
  <c r="R70" i="13"/>
  <c r="S70" i="13"/>
  <c r="W70" i="13"/>
  <c r="X70" i="13"/>
  <c r="Z70" i="13"/>
  <c r="AA70" i="13"/>
  <c r="O71" i="13"/>
  <c r="P71" i="13"/>
  <c r="L67" i="13"/>
  <c r="J182" i="15" l="1"/>
  <c r="K182" i="15"/>
  <c r="L182" i="15"/>
  <c r="M182" i="15"/>
  <c r="N182" i="15"/>
  <c r="O182" i="15"/>
  <c r="P182" i="15"/>
  <c r="Q182" i="15"/>
  <c r="R182" i="15"/>
  <c r="S182" i="15"/>
  <c r="W182" i="15"/>
  <c r="X182" i="15"/>
  <c r="Z182" i="15"/>
  <c r="AA182" i="15"/>
  <c r="AB182" i="15"/>
  <c r="AC182" i="15"/>
  <c r="AD182" i="15"/>
  <c r="AE182" i="15"/>
  <c r="AF182" i="15"/>
  <c r="AG182" i="15"/>
  <c r="AH182" i="15"/>
  <c r="AI182" i="15"/>
  <c r="AJ182" i="15"/>
  <c r="AM182" i="15"/>
  <c r="C167" i="15"/>
  <c r="E167" i="15"/>
  <c r="H167" i="15"/>
  <c r="J167" i="15"/>
  <c r="L167" i="15"/>
  <c r="M167" i="15"/>
  <c r="N167" i="15"/>
  <c r="P167" i="15"/>
  <c r="Q167" i="15"/>
  <c r="R167" i="15"/>
  <c r="S167" i="15"/>
  <c r="T167" i="15"/>
  <c r="W167" i="15"/>
  <c r="X167" i="15"/>
  <c r="Z167" i="15"/>
  <c r="AA167" i="15"/>
  <c r="AB167" i="15"/>
  <c r="AC167" i="15"/>
  <c r="AD167" i="15"/>
  <c r="AE167" i="15"/>
  <c r="AF167" i="15"/>
  <c r="AG167" i="15"/>
  <c r="AH167" i="15"/>
  <c r="AI167" i="15"/>
  <c r="AJ167" i="15"/>
  <c r="AK167" i="15"/>
  <c r="AL167" i="15"/>
  <c r="AM167" i="15"/>
  <c r="AN167" i="15"/>
  <c r="AO167" i="15"/>
  <c r="AP167" i="15"/>
  <c r="AQ167" i="15"/>
  <c r="AR167" i="15"/>
  <c r="AS167" i="15"/>
  <c r="AT167" i="15"/>
  <c r="Y96" i="15"/>
  <c r="A95" i="15"/>
  <c r="C95" i="15"/>
  <c r="E95" i="15"/>
  <c r="H95" i="15"/>
  <c r="J95" i="15"/>
  <c r="K95" i="15"/>
  <c r="L95" i="15"/>
  <c r="M95" i="15"/>
  <c r="N95" i="15"/>
  <c r="O95" i="15"/>
  <c r="P95" i="15"/>
  <c r="Q95" i="15"/>
  <c r="R95" i="15"/>
  <c r="S95" i="15"/>
  <c r="T95" i="15"/>
  <c r="W95" i="15"/>
  <c r="X95" i="15"/>
  <c r="Z95" i="15"/>
  <c r="AA95" i="15"/>
  <c r="AB95" i="15"/>
  <c r="AC95" i="15"/>
  <c r="AD95" i="15"/>
  <c r="AE95" i="15"/>
  <c r="AF95" i="15"/>
  <c r="AG95" i="15"/>
  <c r="AH95" i="15"/>
  <c r="AI95" i="15"/>
  <c r="AJ95" i="15"/>
  <c r="AK95" i="15"/>
  <c r="AL95" i="15"/>
  <c r="AM95" i="15"/>
  <c r="AN95" i="15"/>
  <c r="AO95" i="15"/>
  <c r="AP95" i="15"/>
  <c r="AQ95" i="15"/>
  <c r="AR95" i="15"/>
  <c r="J112" i="15"/>
  <c r="L112" i="15"/>
  <c r="M112" i="15"/>
  <c r="N112" i="15"/>
  <c r="O112" i="15"/>
  <c r="P112" i="15"/>
  <c r="Q112" i="15"/>
  <c r="S112" i="15"/>
  <c r="T112" i="15"/>
  <c r="W112" i="15"/>
  <c r="X112" i="15"/>
  <c r="Z112" i="15"/>
  <c r="AA112" i="15"/>
  <c r="AB112" i="15"/>
  <c r="AC112" i="15"/>
  <c r="AD112" i="15"/>
  <c r="AE112" i="15"/>
  <c r="AF112" i="15"/>
  <c r="AG112" i="15"/>
  <c r="AH112" i="15"/>
  <c r="AI112" i="15"/>
  <c r="AJ112" i="15"/>
  <c r="AK112" i="15"/>
  <c r="AL112" i="15"/>
  <c r="AM112" i="15"/>
  <c r="AN112" i="15"/>
  <c r="AO112" i="15"/>
  <c r="AP112" i="15"/>
  <c r="AQ112" i="15"/>
  <c r="AR112" i="15"/>
  <c r="AS112" i="15"/>
  <c r="J127" i="15"/>
  <c r="L127" i="15"/>
  <c r="M127" i="15"/>
  <c r="N127" i="15"/>
  <c r="O127" i="15"/>
  <c r="P127" i="15"/>
  <c r="Q127" i="15"/>
  <c r="R127" i="15"/>
  <c r="S127" i="15"/>
  <c r="T127" i="15"/>
  <c r="W127" i="15"/>
  <c r="X127" i="15"/>
  <c r="Z127" i="15"/>
  <c r="AA127" i="15"/>
  <c r="AB127" i="15"/>
  <c r="AC127" i="15"/>
  <c r="AD127" i="15"/>
  <c r="AE127" i="15"/>
  <c r="AF127" i="15"/>
  <c r="AG127" i="15"/>
  <c r="AH127" i="15"/>
  <c r="AI127" i="15"/>
  <c r="AJ127" i="15"/>
  <c r="AK127" i="15"/>
  <c r="AL127" i="15"/>
  <c r="AM127" i="15"/>
  <c r="AN127" i="15"/>
  <c r="AO127" i="15"/>
  <c r="AP127" i="15"/>
  <c r="AQ127" i="15"/>
  <c r="AR127" i="15"/>
  <c r="AS127" i="15"/>
  <c r="C157" i="15"/>
  <c r="C159" i="15"/>
  <c r="J142" i="15"/>
  <c r="L142" i="15"/>
  <c r="M142" i="15"/>
  <c r="N142" i="15"/>
  <c r="O142" i="15"/>
  <c r="P142" i="15"/>
  <c r="Q142" i="15"/>
  <c r="R142" i="15"/>
  <c r="S142" i="15"/>
  <c r="T142" i="15"/>
  <c r="W142" i="15"/>
  <c r="X142" i="15"/>
  <c r="Z142" i="15"/>
  <c r="AA142" i="15"/>
  <c r="AB142" i="15"/>
  <c r="AC142" i="15"/>
  <c r="AD142" i="15"/>
  <c r="AE142" i="15"/>
  <c r="AF142" i="15"/>
  <c r="AG142" i="15"/>
  <c r="AH142" i="15"/>
  <c r="AI142" i="15"/>
  <c r="AJ142" i="15"/>
  <c r="AK142" i="15"/>
  <c r="AL142" i="15"/>
  <c r="AM142" i="15"/>
  <c r="AN142" i="15"/>
  <c r="AO142" i="15"/>
  <c r="AP142" i="15"/>
  <c r="AQ142" i="15"/>
  <c r="AR142" i="15"/>
  <c r="AS142" i="15"/>
  <c r="E160" i="15"/>
  <c r="H160" i="15"/>
  <c r="J160" i="15"/>
  <c r="L160" i="15"/>
  <c r="M160" i="15"/>
  <c r="N160" i="15"/>
  <c r="O160" i="15"/>
  <c r="P160" i="15"/>
  <c r="Q160" i="15"/>
  <c r="R160" i="15"/>
  <c r="S160" i="15"/>
  <c r="T160" i="15"/>
  <c r="W160" i="15"/>
  <c r="X160" i="15"/>
  <c r="Z160" i="15"/>
  <c r="AA160" i="15"/>
  <c r="AB160" i="15"/>
  <c r="AC160" i="15"/>
  <c r="AD160" i="15"/>
  <c r="AE160" i="15"/>
  <c r="AF160" i="15"/>
  <c r="AG160" i="15"/>
  <c r="AH160" i="15"/>
  <c r="AI160" i="15"/>
  <c r="AJ160" i="15"/>
  <c r="AK160" i="15"/>
  <c r="AL160" i="15"/>
  <c r="AM160" i="15"/>
  <c r="AN160" i="15"/>
  <c r="AO160" i="15"/>
  <c r="AP160" i="15"/>
  <c r="AQ160" i="15"/>
  <c r="AR160" i="15"/>
  <c r="AS160" i="15"/>
  <c r="J53" i="7"/>
  <c r="C53" i="7"/>
  <c r="H53" i="7"/>
  <c r="L53" i="7"/>
  <c r="M53" i="7"/>
  <c r="N53" i="7"/>
  <c r="O53" i="7"/>
  <c r="P53" i="7"/>
  <c r="Q53" i="7"/>
  <c r="R53" i="7"/>
  <c r="S53" i="7"/>
  <c r="T53" i="7"/>
  <c r="U53" i="7"/>
  <c r="V53" i="7"/>
  <c r="W53" i="7"/>
  <c r="X53" i="7"/>
  <c r="Z53" i="7"/>
  <c r="AA53" i="7"/>
  <c r="AB53" i="7"/>
  <c r="AC53" i="7"/>
  <c r="AD53" i="7"/>
  <c r="AE53" i="7"/>
  <c r="AF53" i="7"/>
  <c r="AG53" i="7"/>
  <c r="AH53" i="7"/>
  <c r="AI53" i="7"/>
  <c r="AJ53" i="7"/>
  <c r="AK53" i="7"/>
  <c r="AL53" i="7"/>
  <c r="AM53" i="7"/>
  <c r="AN53" i="7"/>
  <c r="AO53" i="7"/>
  <c r="AP53" i="7"/>
  <c r="AQ53" i="7"/>
  <c r="AR53" i="7"/>
  <c r="AS53" i="7"/>
  <c r="C70" i="7"/>
  <c r="E70" i="7"/>
  <c r="H70" i="7"/>
  <c r="J70" i="7"/>
  <c r="L70" i="7"/>
  <c r="M70" i="7"/>
  <c r="N70" i="7"/>
  <c r="O70" i="7"/>
  <c r="P70" i="7"/>
  <c r="Q70" i="7"/>
  <c r="R70" i="7"/>
  <c r="S70" i="7"/>
  <c r="T70" i="7"/>
  <c r="U70" i="7"/>
  <c r="V70" i="7"/>
  <c r="W70" i="7"/>
  <c r="X70" i="7"/>
  <c r="Z70" i="7"/>
  <c r="AA70" i="7"/>
  <c r="AB70" i="7"/>
  <c r="AC70" i="7"/>
  <c r="AD70" i="7"/>
  <c r="AE70" i="7"/>
  <c r="AF70" i="7"/>
  <c r="AG70" i="7"/>
  <c r="AH70" i="7"/>
  <c r="AI70" i="7"/>
  <c r="AJ70" i="7"/>
  <c r="AK70" i="7"/>
  <c r="AL70" i="7"/>
  <c r="AM70" i="7"/>
  <c r="AN70" i="7"/>
  <c r="AO70" i="7"/>
  <c r="AP70" i="7"/>
  <c r="AQ70" i="7"/>
  <c r="AR70" i="7"/>
  <c r="AS70" i="7"/>
  <c r="J166" i="1"/>
  <c r="J261" i="1"/>
  <c r="O262" i="1"/>
  <c r="P262" i="1"/>
  <c r="R262" i="1"/>
  <c r="S262" i="1"/>
  <c r="U262" i="1"/>
  <c r="V262" i="1"/>
  <c r="W262" i="1"/>
  <c r="X262" i="1"/>
  <c r="Z262" i="1"/>
  <c r="AA262" i="1"/>
  <c r="AB262" i="1"/>
  <c r="AC262" i="1"/>
  <c r="AD262" i="1"/>
  <c r="AE262" i="1"/>
  <c r="AF262" i="1"/>
  <c r="AG262" i="1"/>
  <c r="AH262" i="1"/>
  <c r="AI262" i="1"/>
  <c r="AJ262" i="1"/>
  <c r="N262" i="1"/>
  <c r="M262" i="1"/>
  <c r="L262" i="1"/>
  <c r="W167" i="1"/>
  <c r="N167" i="1"/>
  <c r="O167" i="1"/>
  <c r="P167" i="1"/>
  <c r="R167" i="1"/>
  <c r="S167" i="1"/>
  <c r="U167" i="1"/>
  <c r="V167" i="1"/>
  <c r="X167" i="1"/>
  <c r="Z167" i="1"/>
  <c r="AA167" i="1"/>
  <c r="AB167" i="1"/>
  <c r="AC167" i="1"/>
  <c r="AD167" i="1"/>
  <c r="AE167" i="1"/>
  <c r="AF167" i="1"/>
  <c r="AG167" i="1"/>
  <c r="AH167" i="1"/>
  <c r="AI167" i="1"/>
  <c r="AJ167" i="1"/>
  <c r="AK167" i="1"/>
  <c r="AL167" i="1"/>
  <c r="L167" i="1"/>
  <c r="K167" i="1"/>
  <c r="K92" i="1"/>
  <c r="AP12" i="1"/>
  <c r="J62" i="1"/>
  <c r="K62" i="1"/>
  <c r="J58" i="1"/>
  <c r="K58" i="1"/>
  <c r="K49" i="1"/>
  <c r="J53" i="1"/>
  <c r="K53" i="1"/>
  <c r="J41" i="1"/>
  <c r="K41" i="1"/>
  <c r="K36" i="1"/>
  <c r="K31" i="1"/>
  <c r="K27" i="1"/>
  <c r="K22" i="1"/>
  <c r="J18" i="1"/>
  <c r="K18" i="1"/>
  <c r="J14" i="1"/>
  <c r="K14" i="1"/>
  <c r="AJ62" i="1"/>
  <c r="AI62" i="1"/>
  <c r="AH62" i="1"/>
  <c r="AG62" i="1"/>
  <c r="AF62" i="1"/>
  <c r="AE62" i="1"/>
  <c r="AD62" i="1"/>
  <c r="AC62" i="1"/>
  <c r="AB62" i="1"/>
  <c r="AA62" i="1"/>
  <c r="Z62" i="1"/>
  <c r="X62" i="1"/>
  <c r="W62" i="1"/>
  <c r="S62" i="1"/>
  <c r="R62" i="1"/>
  <c r="Q62" i="1"/>
  <c r="O62" i="1"/>
  <c r="N62" i="1"/>
  <c r="M62" i="1"/>
  <c r="L62" i="1"/>
  <c r="AJ58" i="1"/>
  <c r="AI58" i="1"/>
  <c r="AH58" i="1"/>
  <c r="AG58" i="1"/>
  <c r="AF58" i="1"/>
  <c r="AE58" i="1"/>
  <c r="AD58" i="1"/>
  <c r="AC58" i="1"/>
  <c r="AB58" i="1"/>
  <c r="AA58" i="1"/>
  <c r="Z58" i="1"/>
  <c r="X58" i="1"/>
  <c r="W58" i="1"/>
  <c r="S58" i="1"/>
  <c r="R58" i="1"/>
  <c r="Q58" i="1"/>
  <c r="O58" i="1"/>
  <c r="N58" i="1"/>
  <c r="M58" i="1"/>
  <c r="L58" i="1"/>
  <c r="AJ53" i="1"/>
  <c r="AI53" i="1"/>
  <c r="AH53" i="1"/>
  <c r="AG53" i="1"/>
  <c r="AF53" i="1"/>
  <c r="AE53" i="1"/>
  <c r="AD53" i="1"/>
  <c r="AC53" i="1"/>
  <c r="AB53" i="1"/>
  <c r="AA53" i="1"/>
  <c r="Z53" i="1"/>
  <c r="X53" i="1"/>
  <c r="W53" i="1"/>
  <c r="S53" i="1"/>
  <c r="R53" i="1"/>
  <c r="Q53" i="1"/>
  <c r="O53" i="1"/>
  <c r="N53" i="1"/>
  <c r="M53" i="1"/>
  <c r="L53" i="1"/>
  <c r="AJ41" i="1"/>
  <c r="AI41" i="1"/>
  <c r="AH41" i="1"/>
  <c r="AG41" i="1"/>
  <c r="AF41" i="1"/>
  <c r="AE41" i="1"/>
  <c r="AD41" i="1"/>
  <c r="AC41" i="1"/>
  <c r="AB41" i="1"/>
  <c r="AA41" i="1"/>
  <c r="Z41" i="1"/>
  <c r="X41" i="1"/>
  <c r="W41" i="1"/>
  <c r="S41" i="1"/>
  <c r="R41" i="1"/>
  <c r="Q41" i="1"/>
  <c r="O41" i="1"/>
  <c r="N41" i="1"/>
  <c r="M41" i="1"/>
  <c r="L41" i="1"/>
  <c r="AJ36" i="1"/>
  <c r="AI36" i="1"/>
  <c r="AH36" i="1"/>
  <c r="AG36" i="1"/>
  <c r="AF36" i="1"/>
  <c r="AE36" i="1"/>
  <c r="AD36" i="1"/>
  <c r="AC36" i="1"/>
  <c r="AB36" i="1"/>
  <c r="AA36" i="1"/>
  <c r="Z36" i="1"/>
  <c r="X36" i="1"/>
  <c r="W36" i="1"/>
  <c r="S36" i="1"/>
  <c r="R36" i="1"/>
  <c r="Q36" i="1"/>
  <c r="O36" i="1"/>
  <c r="N36" i="1"/>
  <c r="M36" i="1"/>
  <c r="L36" i="1"/>
  <c r="AJ27" i="1"/>
  <c r="AI27" i="1"/>
  <c r="AH27" i="1"/>
  <c r="AG27" i="1"/>
  <c r="AF27" i="1"/>
  <c r="AE27" i="1"/>
  <c r="AD27" i="1"/>
  <c r="AC27" i="1"/>
  <c r="AB27" i="1"/>
  <c r="AA27" i="1"/>
  <c r="Z27" i="1"/>
  <c r="X27" i="1"/>
  <c r="W27" i="1"/>
  <c r="S27" i="1"/>
  <c r="R27" i="1"/>
  <c r="Q27" i="1"/>
  <c r="O27" i="1"/>
  <c r="N27" i="1"/>
  <c r="M27" i="1"/>
  <c r="L27" i="1"/>
  <c r="L14" i="1"/>
  <c r="AJ14" i="1"/>
  <c r="AI14" i="1"/>
  <c r="AH14" i="1"/>
  <c r="AG14" i="1"/>
  <c r="AF14" i="1"/>
  <c r="AE14" i="1"/>
  <c r="AD14" i="1"/>
  <c r="AC14" i="1"/>
  <c r="AB14" i="1"/>
  <c r="AA14" i="1"/>
  <c r="Z14" i="1"/>
  <c r="X14" i="1"/>
  <c r="W14" i="1"/>
  <c r="S14" i="1"/>
  <c r="R14" i="1"/>
  <c r="Q14" i="1"/>
  <c r="O14" i="1"/>
  <c r="N14" i="1"/>
  <c r="M14" i="1"/>
  <c r="AJ18" i="1"/>
  <c r="AI18" i="1"/>
  <c r="AH18" i="1"/>
  <c r="AG18" i="1"/>
  <c r="AF18" i="1"/>
  <c r="AE18" i="1"/>
  <c r="AD18" i="1"/>
  <c r="AC18" i="1"/>
  <c r="AB18" i="1"/>
  <c r="AA18" i="1"/>
  <c r="Z18" i="1"/>
  <c r="X18" i="1"/>
  <c r="W18" i="1"/>
  <c r="S18" i="1"/>
  <c r="R18" i="1"/>
  <c r="O18" i="1"/>
  <c r="N18" i="1"/>
  <c r="M18" i="1"/>
  <c r="L18" i="1"/>
  <c r="M61" i="13"/>
  <c r="M71" i="13" s="1"/>
  <c r="N61" i="13"/>
  <c r="N71" i="13" s="1"/>
  <c r="R61" i="13"/>
  <c r="R71" i="13" s="1"/>
  <c r="S61" i="13"/>
  <c r="S71" i="13" s="1"/>
  <c r="W61" i="13"/>
  <c r="W71" i="13" s="1"/>
  <c r="X61" i="13"/>
  <c r="X71" i="13" s="1"/>
  <c r="Y61" i="13"/>
  <c r="Y71" i="13" s="1"/>
  <c r="Z61" i="13"/>
  <c r="Z71" i="13" s="1"/>
  <c r="AA61" i="13"/>
  <c r="AA71" i="13" s="1"/>
  <c r="K61" i="13"/>
  <c r="L61" i="13"/>
  <c r="L71" i="13" s="1"/>
  <c r="J61" i="13"/>
  <c r="J69" i="13"/>
  <c r="AN261" i="1" l="1"/>
  <c r="AP261" i="1"/>
  <c r="AR261" i="1"/>
  <c r="AS261" i="1"/>
  <c r="AQ261" i="1"/>
  <c r="AO261" i="1"/>
  <c r="AS166" i="1"/>
  <c r="AN166" i="1"/>
  <c r="AO166" i="1"/>
  <c r="AP166" i="1"/>
  <c r="AR166" i="1"/>
  <c r="AQ166" i="1"/>
  <c r="AN182" i="15"/>
  <c r="AQ182" i="15"/>
  <c r="AO182" i="15"/>
  <c r="AS182" i="15"/>
  <c r="AP182" i="15"/>
  <c r="Y112" i="15"/>
  <c r="Y160" i="15"/>
  <c r="T182" i="15" a="1"/>
  <c r="T182" i="15" s="1"/>
  <c r="Y142" i="15"/>
  <c r="Y127" i="15"/>
  <c r="T21" i="1" a="1"/>
  <c r="T21" i="1" s="1"/>
  <c r="Z111" i="15"/>
  <c r="P125" i="15"/>
  <c r="Z159" i="15"/>
  <c r="AA159" i="15"/>
  <c r="W159" i="15"/>
  <c r="X159" i="15"/>
  <c r="AN220" i="1"/>
  <c r="AO220" i="1"/>
  <c r="AP220" i="1"/>
  <c r="AQ220" i="1"/>
  <c r="AR220" i="1"/>
  <c r="AS220" i="1"/>
  <c r="AN597" i="1"/>
  <c r="AO597" i="1"/>
  <c r="AP597" i="1"/>
  <c r="AQ597" i="1"/>
  <c r="AR597" i="1"/>
  <c r="AS597" i="1"/>
  <c r="AN580" i="1"/>
  <c r="AO580" i="1"/>
  <c r="AP580" i="1"/>
  <c r="AQ580" i="1"/>
  <c r="AR580" i="1"/>
  <c r="AS580" i="1"/>
  <c r="AN581" i="1"/>
  <c r="AO581" i="1"/>
  <c r="AP581" i="1"/>
  <c r="AQ581" i="1"/>
  <c r="AR581" i="1"/>
  <c r="AS581" i="1"/>
  <c r="AN78" i="15"/>
  <c r="AO78" i="15"/>
  <c r="AP78" i="15"/>
  <c r="AQ78" i="15"/>
  <c r="AR78" i="15"/>
  <c r="AS78" i="15"/>
  <c r="T78" i="15" a="1"/>
  <c r="T78" i="15" s="1"/>
  <c r="AR499" i="1"/>
  <c r="T499" i="1" a="1"/>
  <c r="T499" i="1" s="1"/>
  <c r="AQ499" i="1"/>
  <c r="AP499" i="1"/>
  <c r="AO499" i="1"/>
  <c r="AN499" i="1"/>
  <c r="AS499" i="1"/>
  <c r="AN484" i="1"/>
  <c r="AO484" i="1"/>
  <c r="AP484" i="1"/>
  <c r="AQ484" i="1"/>
  <c r="AR484" i="1"/>
  <c r="AS484" i="1"/>
  <c r="T484" i="1" a="1"/>
  <c r="T484" i="1" s="1"/>
  <c r="AN456" i="1"/>
  <c r="AO456" i="1"/>
  <c r="AP456" i="1"/>
  <c r="AQ456" i="1"/>
  <c r="AR456" i="1"/>
  <c r="AS456" i="1"/>
  <c r="AN470" i="1"/>
  <c r="AO470" i="1"/>
  <c r="AP470" i="1"/>
  <c r="AQ470" i="1"/>
  <c r="AR470" i="1"/>
  <c r="AS470" i="1"/>
  <c r="T470" i="1" a="1"/>
  <c r="T470" i="1" s="1"/>
  <c r="T456" i="1" a="1"/>
  <c r="T456" i="1" s="1"/>
  <c r="T513" i="1" a="1"/>
  <c r="T513" i="1" s="1"/>
  <c r="T94" i="15" l="1"/>
  <c r="Y159" i="15"/>
  <c r="AQ315" i="1" l="1"/>
  <c r="AQ83" i="7" s="1"/>
  <c r="AQ596" i="1"/>
  <c r="AQ51" i="7" s="1"/>
  <c r="AN173" i="15"/>
  <c r="AQ173" i="15"/>
  <c r="AR173" i="15"/>
  <c r="N181" i="15"/>
  <c r="O181" i="15"/>
  <c r="J181" i="15"/>
  <c r="K181" i="15"/>
  <c r="L181" i="15"/>
  <c r="M166" i="15"/>
  <c r="N166" i="15"/>
  <c r="P166" i="15"/>
  <c r="Q166" i="15"/>
  <c r="R166" i="15"/>
  <c r="R168" i="15" s="1"/>
  <c r="S166" i="15"/>
  <c r="S168" i="15" s="1"/>
  <c r="W166" i="15"/>
  <c r="W168" i="15" s="1"/>
  <c r="X166" i="15"/>
  <c r="Z166" i="15"/>
  <c r="Z168" i="15" s="1"/>
  <c r="AA166" i="15"/>
  <c r="AA168" i="15" s="1"/>
  <c r="AB166" i="15"/>
  <c r="AB168" i="15" s="1"/>
  <c r="AC166" i="15"/>
  <c r="AD166" i="15"/>
  <c r="AE166" i="15"/>
  <c r="AF166" i="15"/>
  <c r="AG166" i="15"/>
  <c r="AH166" i="15"/>
  <c r="AI166" i="15"/>
  <c r="AJ166" i="15"/>
  <c r="AK166" i="15"/>
  <c r="AL166" i="15"/>
  <c r="AL168" i="15" s="1"/>
  <c r="AM166" i="15"/>
  <c r="AM168" i="15" s="1"/>
  <c r="T455" i="1" a="1"/>
  <c r="T455" i="1" s="1"/>
  <c r="AS596" i="1"/>
  <c r="AS51" i="7" s="1"/>
  <c r="AS68" i="7"/>
  <c r="T315" i="1" a="1"/>
  <c r="T315" i="1" s="1"/>
  <c r="AN165" i="1"/>
  <c r="T165" i="1" a="1"/>
  <c r="T165" i="1" s="1"/>
  <c r="J67" i="13"/>
  <c r="J68" i="13"/>
  <c r="X72" i="13"/>
  <c r="X73" i="13"/>
  <c r="X74" i="13"/>
  <c r="X67" i="13"/>
  <c r="X68" i="13"/>
  <c r="X69" i="13"/>
  <c r="W83" i="7"/>
  <c r="X83" i="7"/>
  <c r="Z83" i="7"/>
  <c r="AA83" i="7"/>
  <c r="AB83" i="7"/>
  <c r="AK83" i="7"/>
  <c r="AL83" i="7"/>
  <c r="AL84" i="7" s="1"/>
  <c r="J83" i="7"/>
  <c r="K83" i="7"/>
  <c r="L83" i="7"/>
  <c r="M83" i="7"/>
  <c r="N83" i="7"/>
  <c r="P83" i="7"/>
  <c r="R83" i="7"/>
  <c r="S83" i="7"/>
  <c r="O68" i="7"/>
  <c r="P68" i="7"/>
  <c r="Q68" i="7"/>
  <c r="R68" i="7"/>
  <c r="S68" i="7"/>
  <c r="U68" i="7"/>
  <c r="V68" i="7"/>
  <c r="W68" i="7"/>
  <c r="X68" i="7"/>
  <c r="Z68" i="7"/>
  <c r="AA68" i="7"/>
  <c r="AB68" i="7"/>
  <c r="AC68" i="7"/>
  <c r="AD68" i="7"/>
  <c r="AE68" i="7"/>
  <c r="AF68" i="7"/>
  <c r="AG68" i="7"/>
  <c r="AH68" i="7"/>
  <c r="AI68" i="7"/>
  <c r="AJ68" i="7"/>
  <c r="AK68" i="7"/>
  <c r="AL68" i="7"/>
  <c r="AM68" i="7"/>
  <c r="AO68" i="7"/>
  <c r="AP68" i="7"/>
  <c r="AQ68" i="7"/>
  <c r="M68" i="7"/>
  <c r="N68" i="7"/>
  <c r="M51" i="7"/>
  <c r="N51" i="7"/>
  <c r="O51" i="7"/>
  <c r="P51" i="7"/>
  <c r="Q51" i="7"/>
  <c r="R51" i="7"/>
  <c r="S51" i="7"/>
  <c r="U51" i="7"/>
  <c r="V51" i="7"/>
  <c r="W51" i="7"/>
  <c r="X51" i="7"/>
  <c r="Z51" i="7"/>
  <c r="AA51" i="7"/>
  <c r="AB51" i="7"/>
  <c r="AC51" i="7"/>
  <c r="AD51" i="7"/>
  <c r="AE51" i="7"/>
  <c r="AF51" i="7"/>
  <c r="AG51" i="7"/>
  <c r="AH51" i="7"/>
  <c r="AI51" i="7"/>
  <c r="AJ51" i="7"/>
  <c r="AK51" i="7"/>
  <c r="AL51" i="7"/>
  <c r="AM51" i="7"/>
  <c r="M39" i="7"/>
  <c r="N39" i="7"/>
  <c r="P39" i="7"/>
  <c r="Q39" i="7"/>
  <c r="R39" i="7"/>
  <c r="S39" i="7"/>
  <c r="W39" i="7"/>
  <c r="X39" i="7"/>
  <c r="Z39" i="7"/>
  <c r="AA39" i="7"/>
  <c r="AB39" i="7"/>
  <c r="AK39" i="7"/>
  <c r="AL39" i="7"/>
  <c r="AN315" i="1"/>
  <c r="AN83" i="7" s="1"/>
  <c r="AO315" i="1"/>
  <c r="AO83" i="7" s="1"/>
  <c r="AP315" i="1"/>
  <c r="AP83" i="7" s="1"/>
  <c r="AR315" i="1"/>
  <c r="AR83" i="7" s="1"/>
  <c r="AS315" i="1"/>
  <c r="AS83" i="7" s="1"/>
  <c r="T610" i="1" a="1"/>
  <c r="T610" i="1" s="1"/>
  <c r="T39" i="7" s="1"/>
  <c r="T68" i="7"/>
  <c r="T51" i="7"/>
  <c r="AR68" i="7"/>
  <c r="AN596" i="1"/>
  <c r="AN51" i="7" s="1"/>
  <c r="AO596" i="1"/>
  <c r="AO51" i="7" s="1"/>
  <c r="AP596" i="1"/>
  <c r="AP51" i="7" s="1"/>
  <c r="AR596" i="1"/>
  <c r="AR51" i="7" s="1"/>
  <c r="W69" i="15"/>
  <c r="AN77" i="15"/>
  <c r="AO77" i="15"/>
  <c r="AP77" i="15"/>
  <c r="AQ77" i="15"/>
  <c r="AR77" i="15"/>
  <c r="AS77" i="15"/>
  <c r="T77" i="15" a="1"/>
  <c r="T77" i="15" s="1"/>
  <c r="AN513" i="1"/>
  <c r="AN94" i="15" s="1"/>
  <c r="AO513" i="1"/>
  <c r="AO94" i="15" s="1"/>
  <c r="AP513" i="1"/>
  <c r="AP94" i="15" s="1"/>
  <c r="AQ513" i="1"/>
  <c r="AQ94" i="15" s="1"/>
  <c r="AR513" i="1"/>
  <c r="AR94" i="15" s="1"/>
  <c r="AS513" i="1"/>
  <c r="A94" i="15"/>
  <c r="B94" i="15"/>
  <c r="C94" i="15"/>
  <c r="E94" i="15"/>
  <c r="H94" i="15"/>
  <c r="J94" i="15"/>
  <c r="K94" i="15"/>
  <c r="L94" i="15"/>
  <c r="M94" i="15"/>
  <c r="N94" i="15"/>
  <c r="O94" i="15"/>
  <c r="P94" i="15"/>
  <c r="Q94" i="15"/>
  <c r="R94" i="15"/>
  <c r="S94" i="15"/>
  <c r="W94" i="15"/>
  <c r="X94" i="15"/>
  <c r="Z94" i="15"/>
  <c r="AA94" i="15"/>
  <c r="AB94" i="15"/>
  <c r="AC94" i="15"/>
  <c r="AD94" i="15"/>
  <c r="AE94" i="15"/>
  <c r="AF94" i="15"/>
  <c r="AG94" i="15"/>
  <c r="AH94" i="15"/>
  <c r="AI94" i="15"/>
  <c r="AJ94" i="15"/>
  <c r="AK94" i="15"/>
  <c r="AL94" i="15"/>
  <c r="AM94" i="15"/>
  <c r="S110" i="15"/>
  <c r="W110" i="15"/>
  <c r="X110" i="15"/>
  <c r="Z110" i="15"/>
  <c r="AA110" i="15"/>
  <c r="AB110" i="15"/>
  <c r="AC110" i="15"/>
  <c r="AD110" i="15"/>
  <c r="AE110" i="15"/>
  <c r="AF110" i="15"/>
  <c r="AG110" i="15"/>
  <c r="AH110" i="15"/>
  <c r="AI110" i="15"/>
  <c r="AJ110" i="15"/>
  <c r="AK110" i="15"/>
  <c r="AL110" i="15"/>
  <c r="AM110" i="15"/>
  <c r="AT110" i="15"/>
  <c r="AU110" i="15"/>
  <c r="M110" i="15"/>
  <c r="N110" i="15"/>
  <c r="O110" i="15"/>
  <c r="P110" i="15"/>
  <c r="Q110" i="15"/>
  <c r="R110" i="15"/>
  <c r="R125" i="15"/>
  <c r="S125" i="15"/>
  <c r="W125" i="15"/>
  <c r="X125" i="15"/>
  <c r="Z125" i="15"/>
  <c r="AA125" i="15"/>
  <c r="AB125" i="15"/>
  <c r="AC125" i="15"/>
  <c r="AD125" i="15"/>
  <c r="AE125" i="15"/>
  <c r="AF125" i="15"/>
  <c r="AG125" i="15"/>
  <c r="AH125" i="15"/>
  <c r="AI125" i="15"/>
  <c r="AJ125" i="15"/>
  <c r="AK125" i="15"/>
  <c r="AL125" i="15"/>
  <c r="AM125" i="15"/>
  <c r="AT125" i="15"/>
  <c r="M125" i="15"/>
  <c r="N125" i="15"/>
  <c r="O125" i="15"/>
  <c r="Q125" i="15"/>
  <c r="AC140" i="15"/>
  <c r="AD140" i="15"/>
  <c r="AE140" i="15"/>
  <c r="AF140" i="15"/>
  <c r="AG140" i="15"/>
  <c r="AH140" i="15"/>
  <c r="AI140" i="15"/>
  <c r="AJ140" i="15"/>
  <c r="AK140" i="15"/>
  <c r="AL140" i="15"/>
  <c r="AM140" i="15"/>
  <c r="R140" i="15"/>
  <c r="S140" i="15"/>
  <c r="W140" i="15"/>
  <c r="X140" i="15"/>
  <c r="Z140" i="15"/>
  <c r="AA140" i="15"/>
  <c r="AB140" i="15"/>
  <c r="M140" i="15"/>
  <c r="N140" i="15"/>
  <c r="O140" i="15"/>
  <c r="P140" i="15"/>
  <c r="AC158" i="15"/>
  <c r="AD158" i="15"/>
  <c r="AE158" i="15"/>
  <c r="AF158" i="15"/>
  <c r="AG158" i="15"/>
  <c r="AH158" i="15"/>
  <c r="AI158" i="15"/>
  <c r="AJ158" i="15"/>
  <c r="AK158" i="15"/>
  <c r="AL158" i="15"/>
  <c r="AM158" i="15"/>
  <c r="W158" i="15"/>
  <c r="X158" i="15"/>
  <c r="Z158" i="15"/>
  <c r="AA158" i="15"/>
  <c r="AB158" i="15"/>
  <c r="M158" i="15"/>
  <c r="N158" i="15"/>
  <c r="O158" i="15"/>
  <c r="P158" i="15"/>
  <c r="Q158" i="15"/>
  <c r="R158" i="15"/>
  <c r="S158" i="15"/>
  <c r="AN498" i="1"/>
  <c r="AN158" i="15" s="1"/>
  <c r="AO498" i="1"/>
  <c r="AO158" i="15" s="1"/>
  <c r="AP498" i="1"/>
  <c r="AP158" i="15" s="1"/>
  <c r="AQ498" i="1"/>
  <c r="AQ158" i="15" s="1"/>
  <c r="AR498" i="1"/>
  <c r="AR158" i="15" s="1"/>
  <c r="AS498" i="1"/>
  <c r="AS158" i="15" s="1"/>
  <c r="T498" i="1" a="1"/>
  <c r="T498" i="1" s="1"/>
  <c r="T483" i="1" a="1"/>
  <c r="T483" i="1" s="1"/>
  <c r="T469" i="1" a="1"/>
  <c r="T469" i="1" s="1"/>
  <c r="AN455" i="1"/>
  <c r="AN110" i="15" s="1"/>
  <c r="AO455" i="1"/>
  <c r="AO110" i="15" s="1"/>
  <c r="AP455" i="1"/>
  <c r="AP110" i="15" s="1"/>
  <c r="AQ455" i="1"/>
  <c r="AQ110" i="15" s="1"/>
  <c r="AR455" i="1"/>
  <c r="AR110" i="15" s="1"/>
  <c r="AS455" i="1"/>
  <c r="AS110" i="15" s="1"/>
  <c r="T435" i="1" a="1"/>
  <c r="T435" i="1" s="1"/>
  <c r="T436" i="1" a="1"/>
  <c r="T436" i="1" s="1"/>
  <c r="T437" i="1" a="1"/>
  <c r="T437" i="1" s="1"/>
  <c r="T444" i="1" a="1"/>
  <c r="T444" i="1" s="1"/>
  <c r="AS444" i="1"/>
  <c r="AR444" i="1"/>
  <c r="AQ444" i="1"/>
  <c r="AP444" i="1"/>
  <c r="AO444" i="1"/>
  <c r="AN444" i="1"/>
  <c r="AN439" i="1"/>
  <c r="AS439" i="1"/>
  <c r="AR439" i="1"/>
  <c r="AQ439" i="1"/>
  <c r="AP439" i="1"/>
  <c r="AO439" i="1"/>
  <c r="K262" i="1"/>
  <c r="AN249" i="1"/>
  <c r="AO249" i="1"/>
  <c r="AP249" i="1"/>
  <c r="AQ249" i="1"/>
  <c r="AR249" i="1"/>
  <c r="AS249" i="1"/>
  <c r="W251" i="1"/>
  <c r="W225" i="1"/>
  <c r="AN183" i="1"/>
  <c r="AO183" i="1"/>
  <c r="AP183" i="1"/>
  <c r="AQ183" i="1"/>
  <c r="AR183" i="1"/>
  <c r="AS183" i="1"/>
  <c r="M196" i="1"/>
  <c r="AS165" i="1"/>
  <c r="AR165" i="1"/>
  <c r="AQ165" i="1"/>
  <c r="AP165" i="1"/>
  <c r="AO165" i="1"/>
  <c r="C69" i="7"/>
  <c r="E69" i="7"/>
  <c r="H69" i="7"/>
  <c r="J69" i="7"/>
  <c r="L69" i="7"/>
  <c r="M69" i="7"/>
  <c r="N69" i="7"/>
  <c r="O69" i="7"/>
  <c r="P69" i="7"/>
  <c r="Q69" i="7"/>
  <c r="R69" i="7"/>
  <c r="S69" i="7"/>
  <c r="T69" i="7"/>
  <c r="U69" i="7"/>
  <c r="V69" i="7"/>
  <c r="W69" i="7"/>
  <c r="X69" i="7"/>
  <c r="Z69" i="7"/>
  <c r="AA69" i="7"/>
  <c r="AB69" i="7"/>
  <c r="AC69" i="7"/>
  <c r="AD69" i="7"/>
  <c r="AE69" i="7"/>
  <c r="AF69" i="7"/>
  <c r="AG69" i="7"/>
  <c r="AH69" i="7"/>
  <c r="AI69" i="7"/>
  <c r="AJ69" i="7"/>
  <c r="AK69" i="7"/>
  <c r="AL69" i="7"/>
  <c r="AM69" i="7"/>
  <c r="AN69" i="7"/>
  <c r="AO69" i="7"/>
  <c r="AP69" i="7"/>
  <c r="AQ69" i="7"/>
  <c r="AR69" i="7"/>
  <c r="AS69" i="7"/>
  <c r="C52" i="7"/>
  <c r="H52" i="7"/>
  <c r="J52" i="7"/>
  <c r="L52" i="7"/>
  <c r="M52" i="7"/>
  <c r="N52" i="7"/>
  <c r="O52" i="7"/>
  <c r="P52" i="7"/>
  <c r="Q52" i="7"/>
  <c r="R52" i="7"/>
  <c r="S52" i="7"/>
  <c r="T52" i="7"/>
  <c r="U52" i="7"/>
  <c r="V52" i="7"/>
  <c r="W52" i="7"/>
  <c r="X52" i="7"/>
  <c r="Z52" i="7"/>
  <c r="AA52" i="7"/>
  <c r="AB52" i="7"/>
  <c r="AC52" i="7"/>
  <c r="AD52" i="7"/>
  <c r="AE52" i="7"/>
  <c r="AF52" i="7"/>
  <c r="AG52" i="7"/>
  <c r="AH52" i="7"/>
  <c r="AI52" i="7"/>
  <c r="AJ52" i="7"/>
  <c r="AK52" i="7"/>
  <c r="AL52" i="7"/>
  <c r="AM52" i="7"/>
  <c r="AN52" i="7"/>
  <c r="AO52" i="7"/>
  <c r="AP52" i="7"/>
  <c r="AQ52" i="7"/>
  <c r="AR52" i="7"/>
  <c r="AS52" i="7"/>
  <c r="E158" i="15"/>
  <c r="H158" i="15"/>
  <c r="J158" i="15"/>
  <c r="L158" i="15"/>
  <c r="E159" i="15"/>
  <c r="H159" i="15"/>
  <c r="J159" i="15"/>
  <c r="L159" i="15"/>
  <c r="M159" i="15"/>
  <c r="N159" i="15"/>
  <c r="O159" i="15"/>
  <c r="P159" i="15"/>
  <c r="Q159" i="15"/>
  <c r="R159" i="15"/>
  <c r="S159" i="15"/>
  <c r="T159" i="15"/>
  <c r="AB159" i="15"/>
  <c r="AC159" i="15"/>
  <c r="AD159" i="15"/>
  <c r="AE159" i="15"/>
  <c r="AF159" i="15"/>
  <c r="AG159" i="15"/>
  <c r="AH159" i="15"/>
  <c r="AI159" i="15"/>
  <c r="AJ159" i="15"/>
  <c r="AK159" i="15"/>
  <c r="AL159" i="15"/>
  <c r="AM159" i="15"/>
  <c r="AN159" i="15"/>
  <c r="AO159" i="15"/>
  <c r="AP159" i="15"/>
  <c r="AQ159" i="15"/>
  <c r="AR159" i="15"/>
  <c r="AS159" i="15"/>
  <c r="J141" i="15"/>
  <c r="L141" i="15"/>
  <c r="M141" i="15"/>
  <c r="N141" i="15"/>
  <c r="O141" i="15"/>
  <c r="P141" i="15"/>
  <c r="Q141" i="15"/>
  <c r="R141" i="15"/>
  <c r="S141" i="15"/>
  <c r="T141" i="15"/>
  <c r="W141" i="15"/>
  <c r="X141" i="15"/>
  <c r="Z141" i="15"/>
  <c r="AA141" i="15"/>
  <c r="AB141" i="15"/>
  <c r="AC141" i="15"/>
  <c r="AD141" i="15"/>
  <c r="AE141" i="15"/>
  <c r="AF141" i="15"/>
  <c r="AG141" i="15"/>
  <c r="AH141" i="15"/>
  <c r="AI141" i="15"/>
  <c r="AJ141" i="15"/>
  <c r="AK141" i="15"/>
  <c r="AL141" i="15"/>
  <c r="AM141" i="15"/>
  <c r="AN141" i="15"/>
  <c r="AO141" i="15"/>
  <c r="AP141" i="15"/>
  <c r="AQ141" i="15"/>
  <c r="AR141" i="15"/>
  <c r="AS141" i="15"/>
  <c r="J126" i="15"/>
  <c r="L126" i="15"/>
  <c r="M126" i="15"/>
  <c r="N126" i="15"/>
  <c r="O126" i="15"/>
  <c r="P126" i="15"/>
  <c r="Q126" i="15"/>
  <c r="R126" i="15"/>
  <c r="S126" i="15"/>
  <c r="T126" i="15"/>
  <c r="W126" i="15"/>
  <c r="X126" i="15"/>
  <c r="Z126" i="15"/>
  <c r="AA126" i="15"/>
  <c r="AB126" i="15"/>
  <c r="AC126" i="15"/>
  <c r="AD126" i="15"/>
  <c r="AE126" i="15"/>
  <c r="AF126" i="15"/>
  <c r="AG126" i="15"/>
  <c r="AH126" i="15"/>
  <c r="AI126" i="15"/>
  <c r="AJ126" i="15"/>
  <c r="AK126" i="15"/>
  <c r="AL126" i="15"/>
  <c r="AM126" i="15"/>
  <c r="AN126" i="15"/>
  <c r="AO126" i="15"/>
  <c r="AP126" i="15"/>
  <c r="AQ126" i="15"/>
  <c r="AR126" i="15"/>
  <c r="AS126" i="15"/>
  <c r="J111" i="15"/>
  <c r="L111" i="15"/>
  <c r="M111" i="15"/>
  <c r="N111" i="15"/>
  <c r="O111" i="15"/>
  <c r="P111" i="15"/>
  <c r="Q111" i="15"/>
  <c r="S111" i="15"/>
  <c r="T111" i="15"/>
  <c r="W111" i="15"/>
  <c r="X111" i="15"/>
  <c r="AA111" i="15"/>
  <c r="AB111" i="15"/>
  <c r="AC111" i="15"/>
  <c r="AD111" i="15"/>
  <c r="AE111" i="15"/>
  <c r="AF111" i="15"/>
  <c r="AG111" i="15"/>
  <c r="AH111" i="15"/>
  <c r="AI111" i="15"/>
  <c r="AJ111" i="15"/>
  <c r="AK111" i="15"/>
  <c r="AL111" i="15"/>
  <c r="AM111" i="15"/>
  <c r="AN111" i="15"/>
  <c r="AO111" i="15"/>
  <c r="AP111" i="15"/>
  <c r="AQ111" i="15"/>
  <c r="AR111" i="15"/>
  <c r="AS111" i="15"/>
  <c r="W67" i="13"/>
  <c r="N168" i="15" l="1"/>
  <c r="AK168" i="15"/>
  <c r="M168" i="15"/>
  <c r="AJ168" i="15"/>
  <c r="AI168" i="15"/>
  <c r="AH168" i="15"/>
  <c r="Q168" i="15"/>
  <c r="P168" i="15"/>
  <c r="AG168" i="15"/>
  <c r="AF168" i="15"/>
  <c r="AE168" i="15"/>
  <c r="AD168" i="15"/>
  <c r="AC168" i="15"/>
  <c r="X168" i="15"/>
  <c r="AS173" i="15"/>
  <c r="AO173" i="15"/>
  <c r="AP173" i="15"/>
  <c r="AN61" i="13"/>
  <c r="AK61" i="13"/>
  <c r="AM61" i="13"/>
  <c r="AO61" i="13"/>
  <c r="T110" i="15"/>
  <c r="T166" i="15"/>
  <c r="T61" i="13"/>
  <c r="T83" i="7"/>
  <c r="AK84" i="7"/>
  <c r="AL61" i="13"/>
  <c r="T158" i="15"/>
  <c r="T125" i="15"/>
  <c r="T140" i="15"/>
  <c r="Y141" i="15"/>
  <c r="Y111" i="15"/>
  <c r="Y126" i="15"/>
  <c r="AS94" i="15"/>
  <c r="Y125" i="15"/>
  <c r="Y110" i="15"/>
  <c r="Y158" i="15"/>
  <c r="Y140" i="15"/>
  <c r="L166" i="15"/>
  <c r="AN166" i="15"/>
  <c r="AO166" i="15"/>
  <c r="AP166" i="15"/>
  <c r="AQ166" i="15"/>
  <c r="AR166" i="15"/>
  <c r="AS166" i="15"/>
  <c r="AS168" i="15" s="1"/>
  <c r="AT166" i="15"/>
  <c r="J166" i="15"/>
  <c r="J168" i="15" s="1"/>
  <c r="E166" i="15"/>
  <c r="H166" i="15"/>
  <c r="C166" i="15"/>
  <c r="AM181" i="15"/>
  <c r="AJ181" i="15"/>
  <c r="AI181" i="15"/>
  <c r="AH181" i="15"/>
  <c r="AG181" i="15"/>
  <c r="AF181" i="15"/>
  <c r="AE181" i="15"/>
  <c r="AD181" i="15"/>
  <c r="AC181" i="15"/>
  <c r="AB181" i="15"/>
  <c r="AA181" i="15"/>
  <c r="Z181" i="15"/>
  <c r="X181" i="15"/>
  <c r="W181" i="15"/>
  <c r="S181" i="15"/>
  <c r="R181" i="15"/>
  <c r="Q181" i="15"/>
  <c r="P181" i="15"/>
  <c r="M181" i="15"/>
  <c r="L140" i="15"/>
  <c r="Q140" i="15"/>
  <c r="L125" i="15"/>
  <c r="J110" i="15"/>
  <c r="L110" i="15"/>
  <c r="L69" i="15"/>
  <c r="K69" i="15"/>
  <c r="M69" i="15"/>
  <c r="N69" i="15"/>
  <c r="P69" i="15"/>
  <c r="Q69" i="15"/>
  <c r="R69" i="15"/>
  <c r="S69" i="15"/>
  <c r="X69" i="15"/>
  <c r="Z69" i="15"/>
  <c r="AA69" i="15"/>
  <c r="AB69" i="15"/>
  <c r="AK69" i="15"/>
  <c r="AL69" i="15"/>
  <c r="J68" i="15"/>
  <c r="A83" i="7"/>
  <c r="B83" i="7"/>
  <c r="C83" i="7"/>
  <c r="D83" i="7"/>
  <c r="E83" i="7"/>
  <c r="F83" i="7"/>
  <c r="G83" i="7"/>
  <c r="H83" i="7"/>
  <c r="K316" i="1"/>
  <c r="L316" i="1"/>
  <c r="M316" i="1"/>
  <c r="N316" i="1"/>
  <c r="O316" i="1"/>
  <c r="P316" i="1"/>
  <c r="Q316" i="1"/>
  <c r="R316" i="1"/>
  <c r="S316" i="1"/>
  <c r="U316" i="1"/>
  <c r="V316" i="1"/>
  <c r="W316" i="1"/>
  <c r="X316" i="1"/>
  <c r="Z316" i="1"/>
  <c r="AA316" i="1"/>
  <c r="AB316" i="1"/>
  <c r="AC316" i="1"/>
  <c r="AD316" i="1"/>
  <c r="AE316" i="1"/>
  <c r="AF316" i="1"/>
  <c r="AG316" i="1"/>
  <c r="AH316" i="1"/>
  <c r="AI316" i="1"/>
  <c r="AJ316" i="1"/>
  <c r="AK316" i="1"/>
  <c r="AL316" i="1"/>
  <c r="C68" i="7"/>
  <c r="E68" i="7"/>
  <c r="H68" i="7"/>
  <c r="J68" i="7"/>
  <c r="L68" i="7"/>
  <c r="C51" i="7"/>
  <c r="H51" i="7"/>
  <c r="J51" i="7"/>
  <c r="L51" i="7"/>
  <c r="A39" i="7"/>
  <c r="B39" i="7"/>
  <c r="C39" i="7"/>
  <c r="D39" i="7"/>
  <c r="E39" i="7"/>
  <c r="H39" i="7"/>
  <c r="K39" i="7"/>
  <c r="L39" i="7"/>
  <c r="J610" i="1"/>
  <c r="J483" i="1"/>
  <c r="J469" i="1"/>
  <c r="H439" i="1"/>
  <c r="Q260" i="1"/>
  <c r="J260" i="1"/>
  <c r="AP379" i="1"/>
  <c r="AM22" i="11" s="1"/>
  <c r="AQ576" i="1"/>
  <c r="AQ571" i="1"/>
  <c r="AP312" i="1"/>
  <c r="E59" i="7"/>
  <c r="AN617" i="1"/>
  <c r="AO617" i="1"/>
  <c r="AP617" i="1"/>
  <c r="AQ617" i="1"/>
  <c r="AR617" i="1"/>
  <c r="T168" i="15" l="1"/>
  <c r="AR168" i="15"/>
  <c r="AQ168" i="15"/>
  <c r="AP168" i="15"/>
  <c r="L168" i="15"/>
  <c r="AO168" i="15"/>
  <c r="AN168" i="15"/>
  <c r="Q262" i="1"/>
  <c r="J262" i="1"/>
  <c r="AN68" i="15"/>
  <c r="AO68" i="15"/>
  <c r="AS68" i="15"/>
  <c r="AP68" i="15"/>
  <c r="AQ68" i="15"/>
  <c r="AR68" i="15"/>
  <c r="T260" i="1" a="1"/>
  <c r="T260" i="1" s="1"/>
  <c r="J140" i="15"/>
  <c r="AN483" i="1"/>
  <c r="AN140" i="15" s="1"/>
  <c r="AO483" i="1"/>
  <c r="AO140" i="15" s="1"/>
  <c r="AP483" i="1"/>
  <c r="AP140" i="15" s="1"/>
  <c r="AQ483" i="1"/>
  <c r="AQ140" i="15" s="1"/>
  <c r="AR483" i="1"/>
  <c r="AR140" i="15" s="1"/>
  <c r="AS483" i="1"/>
  <c r="AS140" i="15" s="1"/>
  <c r="J39" i="7"/>
  <c r="AN610" i="1"/>
  <c r="AN39" i="7" s="1"/>
  <c r="AO610" i="1"/>
  <c r="AO39" i="7" s="1"/>
  <c r="AP610" i="1"/>
  <c r="AP39" i="7" s="1"/>
  <c r="AQ610" i="1"/>
  <c r="AQ39" i="7" s="1"/>
  <c r="AR610" i="1"/>
  <c r="AR39" i="7" s="1"/>
  <c r="AS610" i="1"/>
  <c r="AS39" i="7" s="1"/>
  <c r="AS260" i="1"/>
  <c r="AR260" i="1"/>
  <c r="AQ260" i="1"/>
  <c r="AP260" i="1"/>
  <c r="AO260" i="1"/>
  <c r="AN260" i="1"/>
  <c r="J125" i="15"/>
  <c r="AO469" i="1"/>
  <c r="AO125" i="15" s="1"/>
  <c r="AP469" i="1"/>
  <c r="AP125" i="15" s="1"/>
  <c r="AQ469" i="1"/>
  <c r="AQ125" i="15" s="1"/>
  <c r="AR469" i="1"/>
  <c r="AR125" i="15" s="1"/>
  <c r="AS469" i="1"/>
  <c r="AS125" i="15" s="1"/>
  <c r="AN469" i="1"/>
  <c r="AN125" i="15" s="1"/>
  <c r="AN181" i="15"/>
  <c r="AO181" i="15"/>
  <c r="AQ181" i="15"/>
  <c r="AR181" i="15"/>
  <c r="AP181" i="15"/>
  <c r="T181" i="15" a="1"/>
  <c r="T181" i="15" s="1"/>
  <c r="AS181" i="15"/>
  <c r="AS219" i="1" l="1"/>
  <c r="AR219" i="1"/>
  <c r="AQ219" i="1"/>
  <c r="AP219" i="1"/>
  <c r="AN219" i="1"/>
  <c r="AO219" i="1"/>
  <c r="Y152" i="15" l="1"/>
  <c r="Y148" i="15"/>
  <c r="T617" i="1" a="1"/>
  <c r="T617" i="1" s="1"/>
  <c r="T608" i="1" a="1"/>
  <c r="T608" i="1" s="1"/>
  <c r="T605" i="1" a="1"/>
  <c r="T605" i="1" s="1"/>
  <c r="T606" i="1" a="1"/>
  <c r="T606" i="1" s="1"/>
  <c r="T607" i="1" a="1"/>
  <c r="T607" i="1" s="1"/>
  <c r="T609" i="1" a="1"/>
  <c r="T609" i="1" s="1"/>
  <c r="T603" i="1" a="1"/>
  <c r="T603" i="1" s="1"/>
  <c r="T67" i="7"/>
  <c r="T568" i="1" a="1"/>
  <c r="T568" i="1" s="1"/>
  <c r="T566" i="1" a="1"/>
  <c r="T566" i="1" s="1"/>
  <c r="T552" i="1" a="1"/>
  <c r="T552" i="1" s="1"/>
  <c r="T546" i="1" a="1"/>
  <c r="T546" i="1" s="1"/>
  <c r="T543" i="1" a="1"/>
  <c r="T543" i="1" s="1"/>
  <c r="T544" i="1" a="1"/>
  <c r="T544" i="1" s="1"/>
  <c r="T542" i="1" a="1"/>
  <c r="T542" i="1" s="1"/>
  <c r="T540" i="1" a="1"/>
  <c r="T540" i="1" s="1"/>
  <c r="T541" i="1" a="1"/>
  <c r="T541" i="1" s="1"/>
  <c r="T539" i="1" a="1"/>
  <c r="T539" i="1" s="1"/>
  <c r="T537" i="1" a="1"/>
  <c r="T537" i="1" s="1"/>
  <c r="T532" i="1" a="1"/>
  <c r="T532" i="1" s="1"/>
  <c r="T530" i="1" a="1"/>
  <c r="T530" i="1" s="1"/>
  <c r="T531" i="1" a="1"/>
  <c r="T531" i="1" s="1"/>
  <c r="T529" i="1" a="1"/>
  <c r="T529" i="1" s="1"/>
  <c r="T526" i="1" a="1"/>
  <c r="T526" i="1" s="1"/>
  <c r="T525" i="1" a="1"/>
  <c r="T525" i="1" s="1"/>
  <c r="T520" i="1" a="1"/>
  <c r="T520" i="1" s="1"/>
  <c r="T517" i="1" a="1"/>
  <c r="T517" i="1" s="1"/>
  <c r="T516" i="1" a="1"/>
  <c r="T516" i="1" s="1"/>
  <c r="T510" i="1" a="1"/>
  <c r="T510" i="1" s="1"/>
  <c r="T509" i="1" a="1"/>
  <c r="T509" i="1" s="1"/>
  <c r="T508" i="1" a="1"/>
  <c r="T508" i="1" s="1"/>
  <c r="T505" i="1" a="1"/>
  <c r="T505" i="1" s="1"/>
  <c r="T494" i="1" a="1"/>
  <c r="T494" i="1" s="1"/>
  <c r="T490" i="1" a="1"/>
  <c r="T490" i="1" s="1"/>
  <c r="T482" i="1" a="1"/>
  <c r="T482" i="1" s="1"/>
  <c r="T481" i="1" a="1"/>
  <c r="T481" i="1" s="1"/>
  <c r="T479" i="1" a="1"/>
  <c r="T479" i="1" s="1"/>
  <c r="T477" i="1" a="1"/>
  <c r="T477" i="1" s="1"/>
  <c r="T476" i="1" a="1"/>
  <c r="T476" i="1" s="1"/>
  <c r="T468" i="1" a="1"/>
  <c r="T468" i="1" s="1"/>
  <c r="T467" i="1" a="1"/>
  <c r="T467" i="1" s="1"/>
  <c r="T465" i="1" a="1"/>
  <c r="T465" i="1" s="1"/>
  <c r="T466" i="1" a="1"/>
  <c r="T466" i="1" s="1"/>
  <c r="T430" i="1" a="1"/>
  <c r="T430" i="1" s="1"/>
  <c r="T429" i="1" a="1"/>
  <c r="T429" i="1" s="1"/>
  <c r="T428" i="1" a="1"/>
  <c r="T428" i="1" s="1"/>
  <c r="T395" i="1" a="1"/>
  <c r="T395" i="1" s="1"/>
  <c r="T393" i="1" a="1"/>
  <c r="T393" i="1" s="1"/>
  <c r="T396" i="1" a="1"/>
  <c r="T396" i="1" s="1"/>
  <c r="T397" i="1" a="1"/>
  <c r="T397" i="1" s="1"/>
  <c r="T398" i="1" a="1"/>
  <c r="T398" i="1" s="1"/>
  <c r="T314" i="1" a="1"/>
  <c r="T314" i="1" s="1"/>
  <c r="T313" i="1" a="1"/>
  <c r="T313" i="1" s="1"/>
  <c r="T310" i="1" a="1"/>
  <c r="T310" i="1" s="1"/>
  <c r="T312" i="1" a="1"/>
  <c r="T312" i="1" s="1"/>
  <c r="T311" i="1" a="1"/>
  <c r="T311" i="1" s="1"/>
  <c r="T283" i="1" a="1"/>
  <c r="T283" i="1" s="1"/>
  <c r="T258" i="1" a="1"/>
  <c r="T258" i="1" s="1"/>
  <c r="T275" i="1" a="1"/>
  <c r="T275" i="1" s="1"/>
  <c r="T187" i="1" a="1"/>
  <c r="T187" i="1" s="1"/>
  <c r="T139" i="1" a="1"/>
  <c r="T139" i="1" s="1"/>
  <c r="T141" i="1" a="1"/>
  <c r="T141" i="1" s="1"/>
  <c r="T142" i="1" a="1"/>
  <c r="T142" i="1" s="1"/>
  <c r="T143" i="1" a="1"/>
  <c r="T143" i="1" s="1"/>
  <c r="T115" i="1"/>
  <c r="T52" i="1" a="1"/>
  <c r="T52" i="1" s="1"/>
  <c r="T51" i="1" a="1"/>
  <c r="T51" i="1" s="1"/>
  <c r="T48" i="1" a="1"/>
  <c r="T48" i="1" s="1"/>
  <c r="T8" i="1" a="1"/>
  <c r="T8" i="1" s="1"/>
  <c r="AD92" i="1"/>
  <c r="AF92" i="1"/>
  <c r="AG92" i="1"/>
  <c r="AH92" i="1"/>
  <c r="AI92" i="1"/>
  <c r="AJ92" i="1"/>
  <c r="AB83" i="1"/>
  <c r="U83" i="1"/>
  <c r="V83" i="1"/>
  <c r="W83" i="1"/>
  <c r="X83" i="1"/>
  <c r="Z83" i="1"/>
  <c r="AA83" i="1"/>
  <c r="AC83" i="1"/>
  <c r="AD83" i="1"/>
  <c r="AE83" i="1"/>
  <c r="AF83" i="1"/>
  <c r="AG83" i="1"/>
  <c r="AH83" i="1"/>
  <c r="AI83" i="1"/>
  <c r="AJ83" i="1"/>
  <c r="S83" i="1"/>
  <c r="T82" i="1" a="1"/>
  <c r="T82" i="1" s="1"/>
  <c r="R83" i="1"/>
  <c r="AN78" i="1"/>
  <c r="AK50" i="7"/>
  <c r="AL50" i="7"/>
  <c r="R67" i="7"/>
  <c r="S67" i="7"/>
  <c r="W67" i="7"/>
  <c r="X67" i="7"/>
  <c r="Z67" i="7"/>
  <c r="AA67" i="7"/>
  <c r="AB67" i="7"/>
  <c r="AC67" i="7"/>
  <c r="AD67" i="7"/>
  <c r="AE67" i="7"/>
  <c r="AF67" i="7"/>
  <c r="AG67" i="7"/>
  <c r="AH67" i="7"/>
  <c r="AI67" i="7"/>
  <c r="AJ67" i="7"/>
  <c r="AK67" i="7"/>
  <c r="AL67" i="7"/>
  <c r="W157" i="15"/>
  <c r="X157" i="15"/>
  <c r="Z157" i="15"/>
  <c r="AA157" i="15"/>
  <c r="AB157" i="15"/>
  <c r="AC157" i="15"/>
  <c r="AD157" i="15"/>
  <c r="AE157" i="15"/>
  <c r="AF157" i="15"/>
  <c r="AG157" i="15"/>
  <c r="AH157" i="15"/>
  <c r="AI157" i="15"/>
  <c r="AJ157" i="15"/>
  <c r="AK157" i="15"/>
  <c r="AL157" i="15"/>
  <c r="R157" i="15"/>
  <c r="S157" i="15"/>
  <c r="M157" i="15"/>
  <c r="M139" i="15"/>
  <c r="R139" i="15"/>
  <c r="S139" i="15"/>
  <c r="W139" i="15"/>
  <c r="X139" i="15"/>
  <c r="Z139" i="15"/>
  <c r="AA139" i="15"/>
  <c r="AB139" i="15"/>
  <c r="AC139" i="15"/>
  <c r="AD139" i="15"/>
  <c r="AE139" i="15"/>
  <c r="AF139" i="15"/>
  <c r="AG139" i="15"/>
  <c r="AH139" i="15"/>
  <c r="AI139" i="15"/>
  <c r="AJ139" i="15"/>
  <c r="AK139" i="15"/>
  <c r="AL139" i="15"/>
  <c r="AC124" i="15"/>
  <c r="AD124" i="15"/>
  <c r="AE124" i="15"/>
  <c r="AF124" i="15"/>
  <c r="AG124" i="15"/>
  <c r="AH124" i="15"/>
  <c r="AI124" i="15"/>
  <c r="AJ124" i="15"/>
  <c r="AK124" i="15"/>
  <c r="AL124" i="15"/>
  <c r="W124" i="15"/>
  <c r="X124" i="15"/>
  <c r="Z124" i="15"/>
  <c r="AA124" i="15"/>
  <c r="AB124" i="15"/>
  <c r="R124" i="15"/>
  <c r="S124" i="15"/>
  <c r="M124" i="15"/>
  <c r="W109" i="15"/>
  <c r="X109" i="15"/>
  <c r="AA109" i="15"/>
  <c r="AB109" i="15"/>
  <c r="AC109" i="15"/>
  <c r="AD109" i="15"/>
  <c r="AE109" i="15"/>
  <c r="AF109" i="15"/>
  <c r="AG109" i="15"/>
  <c r="AH109" i="15"/>
  <c r="AI109" i="15"/>
  <c r="AJ109" i="15"/>
  <c r="AK109" i="15"/>
  <c r="AL109" i="15"/>
  <c r="S109" i="15"/>
  <c r="M109" i="15"/>
  <c r="T76" i="15" a="1"/>
  <c r="T76" i="15" s="1"/>
  <c r="AN76" i="15"/>
  <c r="AO76" i="15"/>
  <c r="AP76" i="15"/>
  <c r="AQ76" i="15"/>
  <c r="AR76" i="15"/>
  <c r="AS76" i="15"/>
  <c r="AN595" i="1"/>
  <c r="AO595" i="1"/>
  <c r="AP595" i="1"/>
  <c r="AQ595" i="1"/>
  <c r="AR595" i="1"/>
  <c r="AS595" i="1"/>
  <c r="AN497" i="1"/>
  <c r="AO497" i="1"/>
  <c r="AP497" i="1"/>
  <c r="AQ497" i="1"/>
  <c r="AR497" i="1"/>
  <c r="AS497" i="1"/>
  <c r="AN579" i="1"/>
  <c r="AO579" i="1"/>
  <c r="AP579" i="1"/>
  <c r="AQ579" i="1"/>
  <c r="AR579" i="1"/>
  <c r="AS579" i="1"/>
  <c r="T497" i="1" a="1"/>
  <c r="T497" i="1" s="1"/>
  <c r="AN482" i="1"/>
  <c r="AO482" i="1"/>
  <c r="AP482" i="1"/>
  <c r="AQ482" i="1"/>
  <c r="AR482" i="1"/>
  <c r="AS482" i="1"/>
  <c r="AN468" i="1"/>
  <c r="AN124" i="15" s="1"/>
  <c r="AO468" i="1"/>
  <c r="AP468" i="1"/>
  <c r="AQ468" i="1"/>
  <c r="AR468" i="1"/>
  <c r="AS468" i="1"/>
  <c r="AN454" i="1"/>
  <c r="AO454" i="1"/>
  <c r="AP454" i="1"/>
  <c r="AQ454" i="1"/>
  <c r="AR454" i="1"/>
  <c r="AS454" i="1"/>
  <c r="T454" i="1" a="1"/>
  <c r="T454" i="1" s="1"/>
  <c r="AK196" i="1"/>
  <c r="AB196" i="1"/>
  <c r="N196" i="1"/>
  <c r="O196" i="1"/>
  <c r="P196" i="1"/>
  <c r="Q196" i="1"/>
  <c r="R196" i="1"/>
  <c r="S196" i="1"/>
  <c r="U196" i="1"/>
  <c r="V196" i="1"/>
  <c r="W196" i="1"/>
  <c r="X196" i="1"/>
  <c r="Z196" i="1"/>
  <c r="AA196" i="1"/>
  <c r="L196" i="1"/>
  <c r="AN218" i="1"/>
  <c r="AO218" i="1"/>
  <c r="AP218" i="1"/>
  <c r="AQ218" i="1"/>
  <c r="AR218" i="1"/>
  <c r="AS218" i="1"/>
  <c r="AL225" i="1"/>
  <c r="X225" i="1"/>
  <c r="Z225" i="1"/>
  <c r="AA225" i="1"/>
  <c r="AB225" i="1"/>
  <c r="M225" i="1"/>
  <c r="P225" i="1"/>
  <c r="Q225" i="1"/>
  <c r="R225" i="1"/>
  <c r="S225" i="1"/>
  <c r="AO75" i="15"/>
  <c r="Y105" i="15"/>
  <c r="X120" i="15"/>
  <c r="T53" i="1" l="1"/>
  <c r="T139" i="15"/>
  <c r="Y109" i="15"/>
  <c r="Y124" i="15"/>
  <c r="Y157" i="15"/>
  <c r="Y139" i="15"/>
  <c r="AN108" i="1"/>
  <c r="T616" i="1" a="1"/>
  <c r="T616" i="1" s="1"/>
  <c r="AK46" i="15"/>
  <c r="AL46" i="15"/>
  <c r="AK64" i="15"/>
  <c r="AL64" i="15"/>
  <c r="AL100" i="15"/>
  <c r="AK100" i="15"/>
  <c r="AK183" i="15"/>
  <c r="AL183" i="15"/>
  <c r="K569" i="1"/>
  <c r="L569" i="1"/>
  <c r="M569" i="1"/>
  <c r="N569" i="1"/>
  <c r="O569" i="1"/>
  <c r="P569" i="1"/>
  <c r="Q569" i="1"/>
  <c r="R569" i="1"/>
  <c r="S569" i="1"/>
  <c r="U569" i="1"/>
  <c r="V569" i="1"/>
  <c r="W569" i="1"/>
  <c r="X569" i="1"/>
  <c r="Z569" i="1"/>
  <c r="AA569" i="1"/>
  <c r="AB569" i="1"/>
  <c r="AC569" i="1"/>
  <c r="AD569" i="1"/>
  <c r="AE569" i="1"/>
  <c r="AF569" i="1"/>
  <c r="AG569" i="1"/>
  <c r="AH569" i="1"/>
  <c r="AI569" i="1"/>
  <c r="AJ569" i="1"/>
  <c r="K564" i="1"/>
  <c r="L564" i="1"/>
  <c r="M564" i="1"/>
  <c r="N564" i="1"/>
  <c r="O564" i="1"/>
  <c r="P564" i="1"/>
  <c r="Q564" i="1"/>
  <c r="R564" i="1"/>
  <c r="S564" i="1"/>
  <c r="U564" i="1"/>
  <c r="V564" i="1"/>
  <c r="W564" i="1"/>
  <c r="X564" i="1"/>
  <c r="Z564" i="1"/>
  <c r="AA564" i="1"/>
  <c r="AB564" i="1"/>
  <c r="AC564" i="1"/>
  <c r="AD564" i="1"/>
  <c r="AE564" i="1"/>
  <c r="AF564" i="1"/>
  <c r="AG564" i="1"/>
  <c r="AH564" i="1"/>
  <c r="AI564" i="1"/>
  <c r="AJ564" i="1"/>
  <c r="K558" i="1"/>
  <c r="L558" i="1"/>
  <c r="M558" i="1"/>
  <c r="N558" i="1"/>
  <c r="O558" i="1"/>
  <c r="P558" i="1"/>
  <c r="Q558" i="1"/>
  <c r="R558" i="1"/>
  <c r="S558" i="1"/>
  <c r="U558" i="1"/>
  <c r="V558" i="1"/>
  <c r="W558" i="1"/>
  <c r="X558" i="1"/>
  <c r="Z558" i="1"/>
  <c r="AA558" i="1"/>
  <c r="AB558" i="1"/>
  <c r="AC558" i="1"/>
  <c r="AD558" i="1"/>
  <c r="AE558" i="1"/>
  <c r="AF558" i="1"/>
  <c r="AG558" i="1"/>
  <c r="AH558" i="1"/>
  <c r="AI558" i="1"/>
  <c r="AJ558" i="1"/>
  <c r="Q281" i="1"/>
  <c r="AJ281" i="1"/>
  <c r="AI281" i="1"/>
  <c r="AH281" i="1"/>
  <c r="AG281" i="1"/>
  <c r="AF281" i="1"/>
  <c r="AE281" i="1"/>
  <c r="AD281" i="1"/>
  <c r="AC281" i="1"/>
  <c r="AB281" i="1"/>
  <c r="AA281" i="1"/>
  <c r="Z281" i="1"/>
  <c r="X281" i="1"/>
  <c r="W281" i="1"/>
  <c r="V281" i="1"/>
  <c r="U281" i="1"/>
  <c r="S281" i="1"/>
  <c r="R281" i="1"/>
  <c r="P281" i="1"/>
  <c r="O281" i="1"/>
  <c r="N281" i="1"/>
  <c r="M281" i="1"/>
  <c r="L281" i="1"/>
  <c r="J281" i="1"/>
  <c r="J381" i="1"/>
  <c r="AJ381" i="1"/>
  <c r="AI381" i="1"/>
  <c r="AH381" i="1"/>
  <c r="AG381" i="1"/>
  <c r="AF381" i="1"/>
  <c r="AE381" i="1"/>
  <c r="AD381" i="1"/>
  <c r="AC381" i="1"/>
  <c r="AA381" i="1"/>
  <c r="Z381" i="1"/>
  <c r="X381" i="1"/>
  <c r="W381" i="1"/>
  <c r="V381" i="1"/>
  <c r="U381" i="1"/>
  <c r="S381" i="1"/>
  <c r="R381" i="1"/>
  <c r="Q381" i="1"/>
  <c r="P381" i="1"/>
  <c r="O381" i="1"/>
  <c r="M381" i="1"/>
  <c r="L381" i="1"/>
  <c r="K251" i="1"/>
  <c r="L251" i="1"/>
  <c r="M251" i="1"/>
  <c r="N251" i="1"/>
  <c r="O251" i="1"/>
  <c r="P251" i="1"/>
  <c r="Q251" i="1"/>
  <c r="R251" i="1"/>
  <c r="S251" i="1"/>
  <c r="U251" i="1"/>
  <c r="V251" i="1"/>
  <c r="X251" i="1"/>
  <c r="Z251" i="1"/>
  <c r="AA251" i="1"/>
  <c r="AB251" i="1"/>
  <c r="AK251" i="1"/>
  <c r="AL251" i="1"/>
  <c r="J251" i="1"/>
  <c r="J244" i="1"/>
  <c r="K244" i="1"/>
  <c r="L244" i="1"/>
  <c r="M244" i="1"/>
  <c r="N244" i="1"/>
  <c r="O244" i="1"/>
  <c r="P244" i="1"/>
  <c r="Q244" i="1"/>
  <c r="R244" i="1"/>
  <c r="S244" i="1"/>
  <c r="U244" i="1"/>
  <c r="V244" i="1"/>
  <c r="W244" i="1"/>
  <c r="X244" i="1"/>
  <c r="Z244" i="1"/>
  <c r="AA244" i="1"/>
  <c r="AB244" i="1"/>
  <c r="AK244" i="1"/>
  <c r="AL244" i="1"/>
  <c r="AL196" i="1"/>
  <c r="Y68" i="13"/>
  <c r="AP425" i="1"/>
  <c r="AR217" i="1"/>
  <c r="AQ217" i="1"/>
  <c r="AP217" i="1"/>
  <c r="AO217" i="1"/>
  <c r="AN217" i="1"/>
  <c r="AS217" i="1"/>
  <c r="AR594" i="1"/>
  <c r="AQ594" i="1"/>
  <c r="AP594" i="1"/>
  <c r="AO594" i="1"/>
  <c r="AN594" i="1"/>
  <c r="AS594" i="1"/>
  <c r="AN578" i="1"/>
  <c r="AO578" i="1"/>
  <c r="AP578" i="1"/>
  <c r="AQ578" i="1"/>
  <c r="AR578" i="1"/>
  <c r="AS578" i="1"/>
  <c r="T75" i="15" a="1"/>
  <c r="T75" i="15" s="1"/>
  <c r="AR75" i="15"/>
  <c r="AQ75" i="15"/>
  <c r="AP75" i="15"/>
  <c r="AN75" i="15"/>
  <c r="AS75" i="15"/>
  <c r="AR496" i="1"/>
  <c r="T496" i="1" a="1"/>
  <c r="T496" i="1" s="1"/>
  <c r="AQ496" i="1"/>
  <c r="AP496" i="1"/>
  <c r="AO496" i="1"/>
  <c r="AN496" i="1"/>
  <c r="AS496" i="1"/>
  <c r="AR481" i="1"/>
  <c r="AQ481" i="1"/>
  <c r="AP481" i="1"/>
  <c r="AO481" i="1"/>
  <c r="AN481" i="1"/>
  <c r="AS481" i="1"/>
  <c r="AR467" i="1"/>
  <c r="AP467" i="1"/>
  <c r="AQ467" i="1"/>
  <c r="AO467" i="1"/>
  <c r="AN467" i="1"/>
  <c r="AN123" i="15" s="1"/>
  <c r="AS467" i="1"/>
  <c r="X108" i="15"/>
  <c r="W108" i="15"/>
  <c r="AN453" i="1"/>
  <c r="T453" i="1" a="1"/>
  <c r="T453" i="1" s="1"/>
  <c r="AR453" i="1"/>
  <c r="AQ453" i="1"/>
  <c r="AP453" i="1"/>
  <c r="AO453" i="1"/>
  <c r="AS453" i="1"/>
  <c r="Y108" i="15" l="1"/>
  <c r="T225" i="1"/>
  <c r="C50" i="7"/>
  <c r="H50" i="7"/>
  <c r="J50" i="7"/>
  <c r="L50" i="7"/>
  <c r="M50" i="7"/>
  <c r="N50" i="7"/>
  <c r="O50" i="7"/>
  <c r="P50" i="7"/>
  <c r="Q50" i="7"/>
  <c r="R50" i="7"/>
  <c r="S50" i="7"/>
  <c r="T50" i="7"/>
  <c r="U50" i="7"/>
  <c r="V50" i="7"/>
  <c r="W50" i="7"/>
  <c r="X50" i="7"/>
  <c r="Z50" i="7"/>
  <c r="AA50" i="7"/>
  <c r="AB50" i="7"/>
  <c r="AC50" i="7"/>
  <c r="AD50" i="7"/>
  <c r="AE50" i="7"/>
  <c r="AF50" i="7"/>
  <c r="AG50" i="7"/>
  <c r="AH50" i="7"/>
  <c r="AI50" i="7"/>
  <c r="AJ50" i="7"/>
  <c r="AM50" i="7"/>
  <c r="AN50" i="7"/>
  <c r="AO50" i="7"/>
  <c r="AP50" i="7"/>
  <c r="AQ50" i="7"/>
  <c r="AR50" i="7"/>
  <c r="AS50" i="7"/>
  <c r="L67" i="7"/>
  <c r="M67" i="7"/>
  <c r="N67" i="7"/>
  <c r="O67" i="7"/>
  <c r="P67" i="7"/>
  <c r="Q67" i="7"/>
  <c r="U67" i="7"/>
  <c r="V67" i="7"/>
  <c r="AM67" i="7"/>
  <c r="AN67" i="7"/>
  <c r="AO67" i="7"/>
  <c r="AP67" i="7"/>
  <c r="AQ67" i="7"/>
  <c r="AR67" i="7"/>
  <c r="AS67" i="7"/>
  <c r="J67" i="7"/>
  <c r="C67" i="7"/>
  <c r="E67" i="7"/>
  <c r="H67" i="7"/>
  <c r="L66" i="7"/>
  <c r="M66" i="7"/>
  <c r="N66" i="7"/>
  <c r="O66" i="7"/>
  <c r="P66" i="7"/>
  <c r="Q66" i="7"/>
  <c r="R66" i="7"/>
  <c r="S66" i="7"/>
  <c r="T66" i="7"/>
  <c r="U66" i="7"/>
  <c r="V66" i="7"/>
  <c r="W66" i="7"/>
  <c r="X66" i="7"/>
  <c r="Z66" i="7"/>
  <c r="AA66" i="7"/>
  <c r="AB66" i="7"/>
  <c r="AC66" i="7"/>
  <c r="AD66" i="7"/>
  <c r="AE66" i="7"/>
  <c r="AF66" i="7"/>
  <c r="AG66" i="7"/>
  <c r="AH66" i="7"/>
  <c r="AI66" i="7"/>
  <c r="AJ66" i="7"/>
  <c r="AK66" i="7"/>
  <c r="AL66" i="7"/>
  <c r="AM66" i="7"/>
  <c r="AN66" i="7"/>
  <c r="AO66" i="7"/>
  <c r="AP66" i="7"/>
  <c r="AQ66" i="7"/>
  <c r="AR66" i="7"/>
  <c r="AS66" i="7"/>
  <c r="J66" i="7"/>
  <c r="C66" i="7"/>
  <c r="E66" i="7"/>
  <c r="H66" i="7"/>
  <c r="L157" i="15"/>
  <c r="N157" i="15"/>
  <c r="O157" i="15"/>
  <c r="P157" i="15"/>
  <c r="Q157" i="15"/>
  <c r="T157" i="15"/>
  <c r="AM157" i="15"/>
  <c r="AN157" i="15"/>
  <c r="AO157" i="15"/>
  <c r="AP157" i="15"/>
  <c r="AQ157" i="15"/>
  <c r="AR157" i="15"/>
  <c r="AS157" i="15"/>
  <c r="J157" i="15"/>
  <c r="E157" i="15"/>
  <c r="H157" i="15"/>
  <c r="N139" i="15"/>
  <c r="O139" i="15"/>
  <c r="P139" i="15"/>
  <c r="Q139" i="15"/>
  <c r="AM139" i="15"/>
  <c r="AN139" i="15"/>
  <c r="AO139" i="15"/>
  <c r="AP139" i="15"/>
  <c r="AQ139" i="15"/>
  <c r="AR139" i="15"/>
  <c r="AS139" i="15"/>
  <c r="L139" i="15"/>
  <c r="J139" i="15"/>
  <c r="L124" i="15"/>
  <c r="N124" i="15"/>
  <c r="O124" i="15"/>
  <c r="P124" i="15"/>
  <c r="Q124" i="15"/>
  <c r="T124" i="15"/>
  <c r="AM124" i="15"/>
  <c r="AO124" i="15"/>
  <c r="AP124" i="15"/>
  <c r="AQ124" i="15"/>
  <c r="AR124" i="15"/>
  <c r="AS124" i="15"/>
  <c r="J124" i="15"/>
  <c r="T109" i="15"/>
  <c r="AM109" i="15"/>
  <c r="AN109" i="15"/>
  <c r="AO109" i="15"/>
  <c r="AP109" i="15"/>
  <c r="AQ109" i="15"/>
  <c r="AR109" i="15"/>
  <c r="AS109" i="15"/>
  <c r="L109" i="15"/>
  <c r="N109" i="15"/>
  <c r="O109" i="15"/>
  <c r="P109" i="15"/>
  <c r="Q109" i="15"/>
  <c r="J109" i="15"/>
  <c r="L45" i="7"/>
  <c r="M45" i="7"/>
  <c r="N45" i="7"/>
  <c r="O45" i="7"/>
  <c r="P45" i="7"/>
  <c r="Q45" i="7"/>
  <c r="R45" i="7"/>
  <c r="S45" i="7"/>
  <c r="U45" i="7"/>
  <c r="V45" i="7"/>
  <c r="W45" i="7"/>
  <c r="X45" i="7"/>
  <c r="Z45" i="7"/>
  <c r="AA45" i="7"/>
  <c r="AB45" i="7"/>
  <c r="AC45" i="7"/>
  <c r="AD45" i="7"/>
  <c r="AE45" i="7"/>
  <c r="AF45" i="7"/>
  <c r="AG45" i="7"/>
  <c r="AH45" i="7"/>
  <c r="AI45" i="7"/>
  <c r="AJ45" i="7"/>
  <c r="AK45" i="7"/>
  <c r="AL45" i="7"/>
  <c r="AM45" i="7"/>
  <c r="L46" i="7"/>
  <c r="M46" i="7"/>
  <c r="N46" i="7"/>
  <c r="O46" i="7"/>
  <c r="P46" i="7"/>
  <c r="Q46" i="7"/>
  <c r="R46" i="7"/>
  <c r="S46" i="7"/>
  <c r="U46" i="7"/>
  <c r="V46" i="7"/>
  <c r="W46" i="7"/>
  <c r="X46" i="7"/>
  <c r="Z46" i="7"/>
  <c r="AA46" i="7"/>
  <c r="AB46" i="7"/>
  <c r="AC46" i="7"/>
  <c r="AD46" i="7"/>
  <c r="AE46" i="7"/>
  <c r="AF46" i="7"/>
  <c r="AG46" i="7"/>
  <c r="AH46" i="7"/>
  <c r="AI46" i="7"/>
  <c r="AJ46" i="7"/>
  <c r="AK46" i="7"/>
  <c r="AL46" i="7"/>
  <c r="AM46" i="7"/>
  <c r="L47" i="7"/>
  <c r="M47" i="7"/>
  <c r="N47" i="7"/>
  <c r="O47" i="7"/>
  <c r="P47" i="7"/>
  <c r="Q47" i="7"/>
  <c r="R47" i="7"/>
  <c r="S47" i="7"/>
  <c r="U47" i="7"/>
  <c r="V47" i="7"/>
  <c r="W47" i="7"/>
  <c r="X47" i="7"/>
  <c r="Z47" i="7"/>
  <c r="AA47" i="7"/>
  <c r="AB47" i="7"/>
  <c r="AC47" i="7"/>
  <c r="AD47" i="7"/>
  <c r="AE47" i="7"/>
  <c r="AF47" i="7"/>
  <c r="AG47" i="7"/>
  <c r="AH47" i="7"/>
  <c r="AI47" i="7"/>
  <c r="AJ47" i="7"/>
  <c r="AK47" i="7"/>
  <c r="AL47" i="7"/>
  <c r="AM47" i="7"/>
  <c r="L48" i="7"/>
  <c r="M48" i="7"/>
  <c r="N48" i="7"/>
  <c r="O48" i="7"/>
  <c r="P48" i="7"/>
  <c r="Q48" i="7"/>
  <c r="R48" i="7"/>
  <c r="S48" i="7"/>
  <c r="T48" i="7"/>
  <c r="U48" i="7"/>
  <c r="V48" i="7"/>
  <c r="W48" i="7"/>
  <c r="X48" i="7"/>
  <c r="Z48" i="7"/>
  <c r="AA48" i="7"/>
  <c r="AB48" i="7"/>
  <c r="AC48" i="7"/>
  <c r="AD48" i="7"/>
  <c r="AE48" i="7"/>
  <c r="AF48" i="7"/>
  <c r="AG48" i="7"/>
  <c r="AH48" i="7"/>
  <c r="AI48" i="7"/>
  <c r="AJ48" i="7"/>
  <c r="AK48" i="7"/>
  <c r="AL48" i="7"/>
  <c r="AM48" i="7"/>
  <c r="L49" i="7"/>
  <c r="M49" i="7"/>
  <c r="N49" i="7"/>
  <c r="O49" i="7"/>
  <c r="P49" i="7"/>
  <c r="Q49" i="7"/>
  <c r="R49" i="7"/>
  <c r="S49" i="7"/>
  <c r="T49" i="7"/>
  <c r="U49" i="7"/>
  <c r="V49" i="7"/>
  <c r="W49" i="7"/>
  <c r="X49" i="7"/>
  <c r="Z49" i="7"/>
  <c r="AA49" i="7"/>
  <c r="AB49" i="7"/>
  <c r="AC49" i="7"/>
  <c r="AD49" i="7"/>
  <c r="AE49" i="7"/>
  <c r="AF49" i="7"/>
  <c r="AG49" i="7"/>
  <c r="AH49" i="7"/>
  <c r="AI49" i="7"/>
  <c r="AJ49" i="7"/>
  <c r="AK49" i="7"/>
  <c r="AL49" i="7"/>
  <c r="AM49" i="7"/>
  <c r="AN49" i="7"/>
  <c r="AO49" i="7"/>
  <c r="AP49" i="7"/>
  <c r="AQ49" i="7"/>
  <c r="AR49" i="7"/>
  <c r="AS49" i="7"/>
  <c r="J46" i="7"/>
  <c r="J47" i="7"/>
  <c r="J48" i="7"/>
  <c r="J49" i="7"/>
  <c r="A44" i="7"/>
  <c r="C44" i="7"/>
  <c r="E44" i="7"/>
  <c r="C49" i="7"/>
  <c r="H49" i="7"/>
  <c r="AP248" i="1"/>
  <c r="AN248" i="1"/>
  <c r="AO248" i="1"/>
  <c r="AQ248" i="1"/>
  <c r="AR248" i="1"/>
  <c r="AS248" i="1"/>
  <c r="AN216" i="1"/>
  <c r="AO216" i="1"/>
  <c r="AP216" i="1"/>
  <c r="AQ216" i="1"/>
  <c r="AR216" i="1"/>
  <c r="AS216" i="1"/>
  <c r="AR593" i="1"/>
  <c r="AR48" i="7" s="1"/>
  <c r="AQ593" i="1"/>
  <c r="AQ48" i="7" s="1"/>
  <c r="AP593" i="1"/>
  <c r="AP48" i="7" s="1"/>
  <c r="AO593" i="1"/>
  <c r="AO48" i="7" s="1"/>
  <c r="AN593" i="1"/>
  <c r="AN48" i="7" s="1"/>
  <c r="AS593" i="1"/>
  <c r="AS48" i="7" s="1"/>
  <c r="AR577" i="1"/>
  <c r="AR65" i="7" s="1"/>
  <c r="AQ577" i="1"/>
  <c r="AQ65" i="7" s="1"/>
  <c r="AP577" i="1"/>
  <c r="AP65" i="7" s="1"/>
  <c r="AO577" i="1"/>
  <c r="AO65" i="7" s="1"/>
  <c r="T65" i="7"/>
  <c r="AN577" i="1"/>
  <c r="AN65" i="7" s="1"/>
  <c r="AS577" i="1"/>
  <c r="AS65" i="7" s="1"/>
  <c r="T480" i="1" a="1"/>
  <c r="T480" i="1" s="1"/>
  <c r="AR495" i="1"/>
  <c r="AR155" i="15" s="1"/>
  <c r="T495" i="1" a="1"/>
  <c r="T495" i="1" s="1"/>
  <c r="T122" i="15"/>
  <c r="T452" i="1" a="1"/>
  <c r="T452" i="1" s="1"/>
  <c r="T451" i="1" a="1"/>
  <c r="T451" i="1" s="1"/>
  <c r="L225" i="1"/>
  <c r="K225" i="1"/>
  <c r="M156" i="15"/>
  <c r="O156" i="15"/>
  <c r="R156" i="15"/>
  <c r="S156" i="15"/>
  <c r="T156" i="15"/>
  <c r="W156" i="15"/>
  <c r="X156" i="15"/>
  <c r="Z156" i="15"/>
  <c r="AA156" i="15"/>
  <c r="AB156" i="15"/>
  <c r="AC156" i="15"/>
  <c r="AD156" i="15"/>
  <c r="AE156" i="15"/>
  <c r="AF156" i="15"/>
  <c r="AG156" i="15"/>
  <c r="AH156" i="15"/>
  <c r="AI156" i="15"/>
  <c r="AJ156" i="15"/>
  <c r="AK156" i="15"/>
  <c r="AL156" i="15"/>
  <c r="AM156" i="15"/>
  <c r="AN156" i="15"/>
  <c r="AO156" i="15"/>
  <c r="AP156" i="15"/>
  <c r="AQ156" i="15"/>
  <c r="AR156" i="15"/>
  <c r="AS156" i="15"/>
  <c r="R138" i="15"/>
  <c r="S138" i="15"/>
  <c r="T138" i="15"/>
  <c r="W138" i="15"/>
  <c r="X138" i="15"/>
  <c r="Z138" i="15"/>
  <c r="AA138" i="15"/>
  <c r="AB138" i="15"/>
  <c r="AC138" i="15"/>
  <c r="AD138" i="15"/>
  <c r="AE138" i="15"/>
  <c r="AF138" i="15"/>
  <c r="AG138" i="15"/>
  <c r="AH138" i="15"/>
  <c r="AI138" i="15"/>
  <c r="AJ138" i="15"/>
  <c r="AK138" i="15"/>
  <c r="AL138" i="15"/>
  <c r="AM138" i="15"/>
  <c r="AN138" i="15"/>
  <c r="AO138" i="15"/>
  <c r="AP138" i="15"/>
  <c r="AQ138" i="15"/>
  <c r="AR138" i="15"/>
  <c r="AS138" i="15"/>
  <c r="O138" i="15"/>
  <c r="M138" i="15"/>
  <c r="M123" i="15"/>
  <c r="O123" i="15"/>
  <c r="R123" i="15"/>
  <c r="S123" i="15"/>
  <c r="T123" i="15"/>
  <c r="W123" i="15"/>
  <c r="X123" i="15"/>
  <c r="Z123" i="15"/>
  <c r="AA123" i="15"/>
  <c r="AB123" i="15"/>
  <c r="AC123" i="15"/>
  <c r="AD123" i="15"/>
  <c r="AE123" i="15"/>
  <c r="AF123" i="15"/>
  <c r="AG123" i="15"/>
  <c r="AH123" i="15"/>
  <c r="AI123" i="15"/>
  <c r="AJ123" i="15"/>
  <c r="AK123" i="15"/>
  <c r="AL123" i="15"/>
  <c r="AM123" i="15"/>
  <c r="AO123" i="15"/>
  <c r="AP123" i="15"/>
  <c r="AQ123" i="15"/>
  <c r="AR123" i="15"/>
  <c r="AS123" i="15"/>
  <c r="AN108" i="15"/>
  <c r="AO108" i="15"/>
  <c r="AP108" i="15"/>
  <c r="AQ108" i="15"/>
  <c r="AR108" i="15"/>
  <c r="AS108" i="15"/>
  <c r="S108" i="15"/>
  <c r="T108" i="15"/>
  <c r="AA108" i="15"/>
  <c r="AB108" i="15"/>
  <c r="AC108" i="15"/>
  <c r="AD108" i="15"/>
  <c r="AE108" i="15"/>
  <c r="AF108" i="15"/>
  <c r="AG108" i="15"/>
  <c r="AH108" i="15"/>
  <c r="AI108" i="15"/>
  <c r="AJ108" i="15"/>
  <c r="AK108" i="15"/>
  <c r="AL108" i="15"/>
  <c r="O108" i="15"/>
  <c r="M108" i="15"/>
  <c r="L155" i="15"/>
  <c r="M155" i="15"/>
  <c r="N155" i="15"/>
  <c r="O155" i="15"/>
  <c r="P155" i="15"/>
  <c r="Q155" i="15"/>
  <c r="R155" i="15"/>
  <c r="S155" i="15"/>
  <c r="W155" i="15"/>
  <c r="X155" i="15"/>
  <c r="Z155" i="15"/>
  <c r="AA155" i="15"/>
  <c r="AB155" i="15"/>
  <c r="AC155" i="15"/>
  <c r="AD155" i="15"/>
  <c r="AE155" i="15"/>
  <c r="AF155" i="15"/>
  <c r="AG155" i="15"/>
  <c r="AH155" i="15"/>
  <c r="AI155" i="15"/>
  <c r="AJ155" i="15"/>
  <c r="AK155" i="15"/>
  <c r="AL155" i="15"/>
  <c r="AM155" i="15"/>
  <c r="J155" i="15"/>
  <c r="C155" i="15"/>
  <c r="E155" i="15"/>
  <c r="H155" i="15"/>
  <c r="M137" i="15"/>
  <c r="N137" i="15"/>
  <c r="O137" i="15"/>
  <c r="P137" i="15"/>
  <c r="Q137" i="15"/>
  <c r="R137" i="15"/>
  <c r="S137" i="15"/>
  <c r="W137" i="15"/>
  <c r="X137" i="15"/>
  <c r="Z137" i="15"/>
  <c r="AA137" i="15"/>
  <c r="AB137" i="15"/>
  <c r="AC137" i="15"/>
  <c r="AD137" i="15"/>
  <c r="AE137" i="15"/>
  <c r="AF137" i="15"/>
  <c r="AG137" i="15"/>
  <c r="AH137" i="15"/>
  <c r="AI137" i="15"/>
  <c r="AJ137" i="15"/>
  <c r="AK137" i="15"/>
  <c r="AL137" i="15"/>
  <c r="AM137" i="15"/>
  <c r="L137" i="15"/>
  <c r="J137" i="15"/>
  <c r="L122" i="15"/>
  <c r="M122" i="15"/>
  <c r="N122" i="15"/>
  <c r="O122" i="15"/>
  <c r="P122" i="15"/>
  <c r="Q122" i="15"/>
  <c r="R122" i="15"/>
  <c r="S122" i="15"/>
  <c r="W122" i="15"/>
  <c r="X122" i="15"/>
  <c r="Z122" i="15"/>
  <c r="AA122" i="15"/>
  <c r="AB122" i="15"/>
  <c r="AC122" i="15"/>
  <c r="AD122" i="15"/>
  <c r="AE122" i="15"/>
  <c r="AF122" i="15"/>
  <c r="AG122" i="15"/>
  <c r="AH122" i="15"/>
  <c r="AI122" i="15"/>
  <c r="AJ122" i="15"/>
  <c r="AK122" i="15"/>
  <c r="AL122" i="15"/>
  <c r="AM122" i="15"/>
  <c r="J122" i="15"/>
  <c r="AN452" i="1"/>
  <c r="AN107" i="15" s="1"/>
  <c r="AO452" i="1"/>
  <c r="AO107" i="15" s="1"/>
  <c r="AP452" i="1"/>
  <c r="AP107" i="15" s="1"/>
  <c r="AQ452" i="1"/>
  <c r="AQ107" i="15" s="1"/>
  <c r="AR452" i="1"/>
  <c r="AR107" i="15" s="1"/>
  <c r="AS452" i="1"/>
  <c r="AS107" i="15" s="1"/>
  <c r="AN466" i="1"/>
  <c r="AN122" i="15" s="1"/>
  <c r="AO466" i="1"/>
  <c r="AO122" i="15" s="1"/>
  <c r="AP466" i="1"/>
  <c r="AP122" i="15" s="1"/>
  <c r="AQ466" i="1"/>
  <c r="AQ122" i="15" s="1"/>
  <c r="AR466" i="1"/>
  <c r="AR122" i="15" s="1"/>
  <c r="AS466" i="1"/>
  <c r="AS122" i="15" s="1"/>
  <c r="AN480" i="1"/>
  <c r="AN137" i="15" s="1"/>
  <c r="AO480" i="1"/>
  <c r="AO137" i="15" s="1"/>
  <c r="AP480" i="1"/>
  <c r="AP137" i="15" s="1"/>
  <c r="AQ480" i="1"/>
  <c r="AQ137" i="15" s="1"/>
  <c r="AR480" i="1"/>
  <c r="AR137" i="15" s="1"/>
  <c r="AS480" i="1"/>
  <c r="AS137" i="15" s="1"/>
  <c r="AN495" i="1"/>
  <c r="AN155" i="15" s="1"/>
  <c r="AO495" i="1"/>
  <c r="AO155" i="15" s="1"/>
  <c r="AP495" i="1"/>
  <c r="AP155" i="15" s="1"/>
  <c r="AQ495" i="1"/>
  <c r="AQ155" i="15" s="1"/>
  <c r="AS495" i="1"/>
  <c r="AS155" i="15" s="1"/>
  <c r="L107" i="15"/>
  <c r="M107" i="15"/>
  <c r="N107" i="15"/>
  <c r="O107" i="15"/>
  <c r="P107" i="15"/>
  <c r="Q107" i="15"/>
  <c r="R107" i="15"/>
  <c r="S107" i="15"/>
  <c r="W107" i="15"/>
  <c r="X107" i="15"/>
  <c r="Z107" i="15"/>
  <c r="AA107" i="15"/>
  <c r="AB107" i="15"/>
  <c r="AC107" i="15"/>
  <c r="AD107" i="15"/>
  <c r="AE107" i="15"/>
  <c r="AF107" i="15"/>
  <c r="AG107" i="15"/>
  <c r="AH107" i="15"/>
  <c r="AI107" i="15"/>
  <c r="AJ107" i="15"/>
  <c r="AK107" i="15"/>
  <c r="AL107" i="15"/>
  <c r="AM107" i="15"/>
  <c r="J107" i="15"/>
  <c r="C47" i="7"/>
  <c r="C48" i="7"/>
  <c r="A47" i="7"/>
  <c r="A48" i="7"/>
  <c r="H48" i="7"/>
  <c r="P42" i="7"/>
  <c r="Q42" i="7"/>
  <c r="R42" i="7"/>
  <c r="S42" i="7"/>
  <c r="U42" i="7"/>
  <c r="V42" i="7"/>
  <c r="W42" i="7"/>
  <c r="X42" i="7"/>
  <c r="Z42" i="7"/>
  <c r="AA42" i="7"/>
  <c r="AB42" i="7"/>
  <c r="AC42" i="7"/>
  <c r="AD42" i="7"/>
  <c r="AE42" i="7"/>
  <c r="AF42" i="7"/>
  <c r="AG42" i="7"/>
  <c r="AH42" i="7"/>
  <c r="AI42" i="7"/>
  <c r="AJ42" i="7"/>
  <c r="AK42" i="7"/>
  <c r="AL42" i="7"/>
  <c r="AM42" i="7"/>
  <c r="P43" i="7"/>
  <c r="Q43" i="7"/>
  <c r="R43" i="7"/>
  <c r="S43" i="7"/>
  <c r="U43" i="7"/>
  <c r="V43" i="7"/>
  <c r="W43" i="7"/>
  <c r="X43" i="7"/>
  <c r="Z43" i="7"/>
  <c r="AA43" i="7"/>
  <c r="AB43" i="7"/>
  <c r="AC43" i="7"/>
  <c r="AD43" i="7"/>
  <c r="AE43" i="7"/>
  <c r="AF43" i="7"/>
  <c r="AG43" i="7"/>
  <c r="AH43" i="7"/>
  <c r="AI43" i="7"/>
  <c r="AJ43" i="7"/>
  <c r="AK43" i="7"/>
  <c r="AL43" i="7"/>
  <c r="AM43" i="7"/>
  <c r="O43" i="7"/>
  <c r="N43" i="7"/>
  <c r="O42" i="7"/>
  <c r="N42" i="7"/>
  <c r="M42" i="7"/>
  <c r="M43" i="7"/>
  <c r="L43" i="7"/>
  <c r="L42" i="7"/>
  <c r="J42" i="7"/>
  <c r="AK59" i="7"/>
  <c r="AL59" i="7"/>
  <c r="AM59" i="7"/>
  <c r="AK60" i="7"/>
  <c r="AL60" i="7"/>
  <c r="AM60" i="7"/>
  <c r="AK61" i="7"/>
  <c r="AL61" i="7"/>
  <c r="AM61" i="7"/>
  <c r="AK62" i="7"/>
  <c r="AL62" i="7"/>
  <c r="AM62" i="7"/>
  <c r="AK63" i="7"/>
  <c r="AL63" i="7"/>
  <c r="AM63" i="7"/>
  <c r="AK64" i="7"/>
  <c r="AL64" i="7"/>
  <c r="AM64" i="7"/>
  <c r="AK65" i="7"/>
  <c r="AL65" i="7"/>
  <c r="AM65" i="7"/>
  <c r="W59" i="7"/>
  <c r="X59" i="7"/>
  <c r="Z59" i="7"/>
  <c r="AA59" i="7"/>
  <c r="AB59" i="7"/>
  <c r="AC59" i="7"/>
  <c r="AD59" i="7"/>
  <c r="AE59" i="7"/>
  <c r="AF59" i="7"/>
  <c r="AG59" i="7"/>
  <c r="AH59" i="7"/>
  <c r="AI59" i="7"/>
  <c r="AJ59" i="7"/>
  <c r="W60" i="7"/>
  <c r="X60" i="7"/>
  <c r="Z60" i="7"/>
  <c r="AA60" i="7"/>
  <c r="AB60" i="7"/>
  <c r="AC60" i="7"/>
  <c r="AD60" i="7"/>
  <c r="AE60" i="7"/>
  <c r="AF60" i="7"/>
  <c r="AG60" i="7"/>
  <c r="AH60" i="7"/>
  <c r="AI60" i="7"/>
  <c r="AJ60" i="7"/>
  <c r="W61" i="7"/>
  <c r="X61" i="7"/>
  <c r="Z61" i="7"/>
  <c r="AA61" i="7"/>
  <c r="AB61" i="7"/>
  <c r="AC61" i="7"/>
  <c r="AD61" i="7"/>
  <c r="AE61" i="7"/>
  <c r="AF61" i="7"/>
  <c r="AG61" i="7"/>
  <c r="AH61" i="7"/>
  <c r="AI61" i="7"/>
  <c r="AJ61" i="7"/>
  <c r="W62" i="7"/>
  <c r="X62" i="7"/>
  <c r="Z62" i="7"/>
  <c r="AA62" i="7"/>
  <c r="AB62" i="7"/>
  <c r="AC62" i="7"/>
  <c r="AD62" i="7"/>
  <c r="AE62" i="7"/>
  <c r="AF62" i="7"/>
  <c r="AG62" i="7"/>
  <c r="AH62" i="7"/>
  <c r="AI62" i="7"/>
  <c r="AJ62" i="7"/>
  <c r="W63" i="7"/>
  <c r="X63" i="7"/>
  <c r="Z63" i="7"/>
  <c r="AA63" i="7"/>
  <c r="AB63" i="7"/>
  <c r="AC63" i="7"/>
  <c r="AD63" i="7"/>
  <c r="AE63" i="7"/>
  <c r="AF63" i="7"/>
  <c r="AG63" i="7"/>
  <c r="AH63" i="7"/>
  <c r="AI63" i="7"/>
  <c r="AJ63" i="7"/>
  <c r="W64" i="7"/>
  <c r="X64" i="7"/>
  <c r="Z64" i="7"/>
  <c r="AA64" i="7"/>
  <c r="AB64" i="7"/>
  <c r="AC64" i="7"/>
  <c r="AD64" i="7"/>
  <c r="AE64" i="7"/>
  <c r="AF64" i="7"/>
  <c r="AG64" i="7"/>
  <c r="AH64" i="7"/>
  <c r="AI64" i="7"/>
  <c r="AJ64" i="7"/>
  <c r="W65" i="7"/>
  <c r="X65" i="7"/>
  <c r="Z65" i="7"/>
  <c r="AA65" i="7"/>
  <c r="AB65" i="7"/>
  <c r="AC65" i="7"/>
  <c r="AD65" i="7"/>
  <c r="AE65" i="7"/>
  <c r="AF65" i="7"/>
  <c r="AG65" i="7"/>
  <c r="AH65" i="7"/>
  <c r="AI65" i="7"/>
  <c r="AJ65" i="7"/>
  <c r="O59" i="7"/>
  <c r="P59" i="7"/>
  <c r="Q59" i="7"/>
  <c r="R59" i="7"/>
  <c r="S59" i="7"/>
  <c r="O60" i="7"/>
  <c r="P60" i="7"/>
  <c r="Q60" i="7"/>
  <c r="R60" i="7"/>
  <c r="S60" i="7"/>
  <c r="O61" i="7"/>
  <c r="P61" i="7"/>
  <c r="Q61" i="7"/>
  <c r="R61" i="7"/>
  <c r="S61" i="7"/>
  <c r="O62" i="7"/>
  <c r="P62" i="7"/>
  <c r="Q62" i="7"/>
  <c r="R62" i="7"/>
  <c r="S62" i="7"/>
  <c r="O63" i="7"/>
  <c r="P63" i="7"/>
  <c r="Q63" i="7"/>
  <c r="R63" i="7"/>
  <c r="S63" i="7"/>
  <c r="O64" i="7"/>
  <c r="P64" i="7"/>
  <c r="Q64" i="7"/>
  <c r="R64" i="7"/>
  <c r="S64" i="7"/>
  <c r="O65" i="7"/>
  <c r="P65" i="7"/>
  <c r="Q65" i="7"/>
  <c r="R65" i="7"/>
  <c r="S65" i="7"/>
  <c r="N59" i="7"/>
  <c r="N60" i="7"/>
  <c r="N61" i="7"/>
  <c r="N62" i="7"/>
  <c r="N63" i="7"/>
  <c r="N64" i="7"/>
  <c r="N65" i="7"/>
  <c r="M59" i="7"/>
  <c r="M60" i="7"/>
  <c r="M61" i="7"/>
  <c r="M62" i="7"/>
  <c r="M63" i="7"/>
  <c r="M64" i="7"/>
  <c r="M65" i="7"/>
  <c r="L59" i="7"/>
  <c r="L60" i="7"/>
  <c r="L61" i="7"/>
  <c r="L62" i="7"/>
  <c r="L63" i="7"/>
  <c r="L64" i="7"/>
  <c r="L65" i="7"/>
  <c r="J59" i="7"/>
  <c r="J60" i="7"/>
  <c r="J61" i="7"/>
  <c r="J63" i="7"/>
  <c r="J64" i="7"/>
  <c r="J65" i="7"/>
  <c r="W57" i="7" l="1"/>
  <c r="N74" i="7"/>
  <c r="AB74" i="7"/>
  <c r="AB57" i="7"/>
  <c r="AA74" i="7"/>
  <c r="AA57" i="7"/>
  <c r="T137" i="15"/>
  <c r="T107" i="15"/>
  <c r="T155" i="15"/>
  <c r="P57" i="7"/>
  <c r="S74" i="7"/>
  <c r="Y123" i="15"/>
  <c r="W74" i="7"/>
  <c r="L74" i="7"/>
  <c r="Y156" i="15"/>
  <c r="Y155" i="15"/>
  <c r="Y137" i="15"/>
  <c r="Y107" i="15"/>
  <c r="Y122" i="15"/>
  <c r="Y138" i="15"/>
  <c r="M57" i="7"/>
  <c r="L57" i="7"/>
  <c r="AF57" i="7"/>
  <c r="AJ57" i="7"/>
  <c r="X57" i="7"/>
  <c r="AI57" i="7"/>
  <c r="AH57" i="7"/>
  <c r="AG57" i="7"/>
  <c r="N57" i="7"/>
  <c r="O57" i="7"/>
  <c r="AD57" i="7"/>
  <c r="R57" i="7"/>
  <c r="Q57" i="7"/>
  <c r="AE57" i="7"/>
  <c r="AC57" i="7"/>
  <c r="P74" i="7"/>
  <c r="AL57" i="7"/>
  <c r="O74" i="7"/>
  <c r="M74" i="7"/>
  <c r="X74" i="7"/>
  <c r="Z74" i="7"/>
  <c r="R74" i="7"/>
  <c r="AL74" i="7"/>
  <c r="AE74" i="7"/>
  <c r="Q74" i="7"/>
  <c r="AD74" i="7"/>
  <c r="AC74" i="7"/>
  <c r="AI74" i="7"/>
  <c r="AH74" i="7"/>
  <c r="AJ74" i="7"/>
  <c r="AG74" i="7"/>
  <c r="AF74" i="7"/>
  <c r="K65" i="7"/>
  <c r="B65" i="7"/>
  <c r="C65" i="7"/>
  <c r="E65" i="7"/>
  <c r="H65" i="7"/>
  <c r="A65" i="7"/>
  <c r="T47" i="7"/>
  <c r="T106" i="15"/>
  <c r="AN592" i="1"/>
  <c r="AN47" i="7" s="1"/>
  <c r="AO592" i="1"/>
  <c r="AO47" i="7" s="1"/>
  <c r="AP592" i="1"/>
  <c r="AP47" i="7" s="1"/>
  <c r="AQ592" i="1"/>
  <c r="AQ47" i="7" s="1"/>
  <c r="AR592" i="1"/>
  <c r="AR47" i="7" s="1"/>
  <c r="AS592" i="1"/>
  <c r="AS47" i="7" s="1"/>
  <c r="T64" i="7"/>
  <c r="AN576" i="1"/>
  <c r="AN64" i="7" s="1"/>
  <c r="AO576" i="1"/>
  <c r="AO64" i="7" s="1"/>
  <c r="AP576" i="1"/>
  <c r="AP64" i="7" s="1"/>
  <c r="AQ64" i="7"/>
  <c r="AR576" i="1"/>
  <c r="AR64" i="7" s="1"/>
  <c r="AS576" i="1"/>
  <c r="AS64" i="7" s="1"/>
  <c r="AS12" i="1"/>
  <c r="AS13" i="1"/>
  <c r="AS16" i="1"/>
  <c r="AS17" i="1"/>
  <c r="AS39" i="1"/>
  <c r="AS40" i="1"/>
  <c r="AS44" i="1"/>
  <c r="AS51" i="1"/>
  <c r="AS52" i="1"/>
  <c r="AS56" i="1"/>
  <c r="AS57" i="1"/>
  <c r="AS60" i="1"/>
  <c r="AS61" i="1"/>
  <c r="AS64" i="1"/>
  <c r="AS78" i="1"/>
  <c r="AS85" i="1"/>
  <c r="AS87" i="1"/>
  <c r="AS94" i="1"/>
  <c r="AS108" i="1"/>
  <c r="AS115" i="1"/>
  <c r="AS116" i="1"/>
  <c r="AS117" i="1"/>
  <c r="AS118" i="1"/>
  <c r="AS119" i="1"/>
  <c r="AS120" i="1"/>
  <c r="AS121" i="1"/>
  <c r="AS122" i="1"/>
  <c r="AS123" i="1"/>
  <c r="AS125" i="1"/>
  <c r="AS126" i="1"/>
  <c r="AS127" i="1"/>
  <c r="AS128" i="1"/>
  <c r="AS129" i="1"/>
  <c r="AS130" i="1"/>
  <c r="AS131" i="1"/>
  <c r="AS132" i="1"/>
  <c r="AS133" i="1"/>
  <c r="AS134" i="1"/>
  <c r="AS135" i="1"/>
  <c r="AS136" i="1"/>
  <c r="AS137" i="1"/>
  <c r="AS138" i="1"/>
  <c r="AS139" i="1"/>
  <c r="AS140" i="1"/>
  <c r="AS141" i="1"/>
  <c r="AS142" i="1"/>
  <c r="AS143" i="1"/>
  <c r="AS160" i="1"/>
  <c r="AS198" i="1"/>
  <c r="AS199" i="1"/>
  <c r="AS200" i="1"/>
  <c r="AS214" i="1"/>
  <c r="AS215" i="1"/>
  <c r="AS227" i="1"/>
  <c r="AS229" i="1"/>
  <c r="AS231" i="1"/>
  <c r="AS234" i="1"/>
  <c r="AS235" i="1"/>
  <c r="AS238" i="1"/>
  <c r="AS239" i="1"/>
  <c r="AS240" i="1"/>
  <c r="AS246" i="1"/>
  <c r="AS247" i="1"/>
  <c r="AS254" i="1"/>
  <c r="AS255" i="1"/>
  <c r="AS275" i="1"/>
  <c r="AS276" i="1"/>
  <c r="AS283" i="1"/>
  <c r="AS284" i="1"/>
  <c r="AS286" i="1"/>
  <c r="AS287" i="1"/>
  <c r="AS308" i="1"/>
  <c r="AS309" i="1"/>
  <c r="AS310" i="1"/>
  <c r="AS78" i="7" s="1"/>
  <c r="AS311" i="1"/>
  <c r="AS79" i="7" s="1"/>
  <c r="AS312" i="1"/>
  <c r="AS80" i="7" s="1"/>
  <c r="AS330" i="1"/>
  <c r="AS331" i="1"/>
  <c r="AS375" i="1"/>
  <c r="AS376" i="1"/>
  <c r="AS377" i="1"/>
  <c r="AS378" i="1"/>
  <c r="AS379" i="1"/>
  <c r="AS380" i="1"/>
  <c r="AS393" i="1"/>
  <c r="AS394" i="1"/>
  <c r="AS397" i="1"/>
  <c r="AS398" i="1"/>
  <c r="AS405" i="1"/>
  <c r="AS407" i="1"/>
  <c r="AS410" i="1"/>
  <c r="AS411" i="1"/>
  <c r="AS414" i="1"/>
  <c r="AS425" i="1"/>
  <c r="AS426" i="1"/>
  <c r="AS427" i="1"/>
  <c r="AS428" i="1"/>
  <c r="AS429" i="1"/>
  <c r="AS430" i="1"/>
  <c r="AS434" i="1"/>
  <c r="AS435" i="1"/>
  <c r="AS436" i="1"/>
  <c r="AS437" i="1"/>
  <c r="AS505" i="1"/>
  <c r="AS508" i="1"/>
  <c r="AS509" i="1"/>
  <c r="AS510" i="1"/>
  <c r="AS512" i="1"/>
  <c r="AS516" i="1"/>
  <c r="AS517" i="1"/>
  <c r="AS522" i="1"/>
  <c r="AS525" i="1"/>
  <c r="AS526" i="1"/>
  <c r="AS527" i="1"/>
  <c r="AS531" i="1"/>
  <c r="AS532" i="1"/>
  <c r="AS539" i="1"/>
  <c r="AS540" i="1"/>
  <c r="AS542" i="1"/>
  <c r="AS543" i="1"/>
  <c r="AS544" i="1"/>
  <c r="AS546" i="1"/>
  <c r="AS554" i="1"/>
  <c r="AS555" i="1"/>
  <c r="AS556" i="1"/>
  <c r="AS560" i="1"/>
  <c r="AS561" i="1"/>
  <c r="AS562" i="1"/>
  <c r="AS566" i="1"/>
  <c r="AS567" i="1"/>
  <c r="AS9" i="15"/>
  <c r="AS11" i="15"/>
  <c r="AS14" i="15"/>
  <c r="AS15" i="15"/>
  <c r="AS28" i="15"/>
  <c r="AS29" i="15"/>
  <c r="AS30" i="15"/>
  <c r="AS31" i="15"/>
  <c r="AS32" i="15"/>
  <c r="AS33" i="15"/>
  <c r="AS37" i="15"/>
  <c r="AS38" i="15"/>
  <c r="AS39" i="15"/>
  <c r="AS40" i="15"/>
  <c r="AS41" i="15"/>
  <c r="AS56" i="15"/>
  <c r="AS57" i="15"/>
  <c r="AS58" i="15"/>
  <c r="AS59" i="15"/>
  <c r="AS60" i="15"/>
  <c r="AS67" i="15"/>
  <c r="AS73" i="15"/>
  <c r="AS85" i="15"/>
  <c r="AS87" i="15"/>
  <c r="AS88" i="15"/>
  <c r="AS89" i="15"/>
  <c r="AS90" i="15"/>
  <c r="AS91" i="15"/>
  <c r="AS92" i="15"/>
  <c r="AS105" i="15"/>
  <c r="S104" i="15"/>
  <c r="U449" i="1"/>
  <c r="V449" i="1"/>
  <c r="W104" i="15"/>
  <c r="X104" i="15"/>
  <c r="Z104" i="15"/>
  <c r="AA104" i="15"/>
  <c r="AB104" i="15"/>
  <c r="R104" i="15"/>
  <c r="M104" i="15"/>
  <c r="K449" i="1"/>
  <c r="L449" i="1"/>
  <c r="N449" i="1"/>
  <c r="O449" i="1"/>
  <c r="P449" i="1"/>
  <c r="Q449" i="1"/>
  <c r="J449" i="1"/>
  <c r="N464" i="1"/>
  <c r="P464" i="1"/>
  <c r="N478" i="1"/>
  <c r="P478" i="1"/>
  <c r="S135" i="15"/>
  <c r="S478" i="1" s="1"/>
  <c r="W135" i="15"/>
  <c r="X135" i="15"/>
  <c r="X478" i="1" s="1"/>
  <c r="Z135" i="15"/>
  <c r="Z478" i="1" s="1"/>
  <c r="AA135" i="15"/>
  <c r="AA478" i="1" s="1"/>
  <c r="AB135" i="15"/>
  <c r="AB478" i="1" s="1"/>
  <c r="R135" i="15"/>
  <c r="R478" i="1" s="1"/>
  <c r="M135" i="15"/>
  <c r="M478" i="1" s="1"/>
  <c r="S120" i="15"/>
  <c r="W120" i="15"/>
  <c r="Y120" i="15" s="1"/>
  <c r="X464" i="1"/>
  <c r="Z120" i="15"/>
  <c r="Z464" i="1" s="1"/>
  <c r="AA120" i="15"/>
  <c r="AA464" i="1" s="1"/>
  <c r="AB120" i="15"/>
  <c r="AB464" i="1" s="1"/>
  <c r="R120" i="15"/>
  <c r="R464" i="1" s="1"/>
  <c r="M120" i="15"/>
  <c r="M464" i="1" s="1"/>
  <c r="T121" i="15"/>
  <c r="T154" i="15"/>
  <c r="AN494" i="1"/>
  <c r="AN154" i="15" s="1"/>
  <c r="AO494" i="1"/>
  <c r="AO154" i="15" s="1"/>
  <c r="AP494" i="1"/>
  <c r="AP154" i="15" s="1"/>
  <c r="AQ494" i="1"/>
  <c r="AQ154" i="15" s="1"/>
  <c r="AR494" i="1"/>
  <c r="AR154" i="15" s="1"/>
  <c r="AS490" i="1"/>
  <c r="AS491" i="1"/>
  <c r="AS493" i="1"/>
  <c r="AS494" i="1"/>
  <c r="AN479" i="1"/>
  <c r="AN136" i="15" s="1"/>
  <c r="AO479" i="1"/>
  <c r="AO136" i="15" s="1"/>
  <c r="AQ479" i="1"/>
  <c r="AQ136" i="15" s="1"/>
  <c r="AR479" i="1"/>
  <c r="AR136" i="15" s="1"/>
  <c r="AS476" i="1"/>
  <c r="AS477" i="1"/>
  <c r="AS479" i="1"/>
  <c r="AN465" i="1"/>
  <c r="AN121" i="15" s="1"/>
  <c r="AO465" i="1"/>
  <c r="AO121" i="15" s="1"/>
  <c r="AP465" i="1"/>
  <c r="AP121" i="15" s="1"/>
  <c r="AQ465" i="1"/>
  <c r="AQ121" i="15" s="1"/>
  <c r="AR465" i="1"/>
  <c r="AR121" i="15" s="1"/>
  <c r="AS465" i="1"/>
  <c r="AS463" i="1"/>
  <c r="AS462" i="1"/>
  <c r="AR463" i="1"/>
  <c r="AS448" i="1"/>
  <c r="AS450" i="1"/>
  <c r="AS451" i="1"/>
  <c r="AS447" i="1"/>
  <c r="AN451" i="1"/>
  <c r="AN106" i="15" s="1"/>
  <c r="AO451" i="1"/>
  <c r="AO106" i="15" s="1"/>
  <c r="AP451" i="1"/>
  <c r="AP106" i="15" s="1"/>
  <c r="AQ451" i="1"/>
  <c r="AQ106" i="15" s="1"/>
  <c r="AR451" i="1"/>
  <c r="AR106" i="15" s="1"/>
  <c r="AN247" i="1"/>
  <c r="AO247" i="1"/>
  <c r="AP247" i="1"/>
  <c r="AQ247" i="1"/>
  <c r="AR247" i="1"/>
  <c r="AN240" i="1"/>
  <c r="AO240" i="1"/>
  <c r="AP240" i="1"/>
  <c r="AQ240" i="1"/>
  <c r="AR240" i="1"/>
  <c r="AN215" i="1"/>
  <c r="AO215" i="1"/>
  <c r="AP215" i="1"/>
  <c r="AQ215" i="1"/>
  <c r="AR215" i="1"/>
  <c r="L154" i="15"/>
  <c r="M154" i="15"/>
  <c r="N154" i="15"/>
  <c r="O154" i="15"/>
  <c r="P154" i="15"/>
  <c r="Q154" i="15"/>
  <c r="R154" i="15"/>
  <c r="S154" i="15"/>
  <c r="W154" i="15"/>
  <c r="X154" i="15"/>
  <c r="Z154" i="15"/>
  <c r="AA154" i="15"/>
  <c r="AB154" i="15"/>
  <c r="AC154" i="15"/>
  <c r="AD154" i="15"/>
  <c r="AE154" i="15"/>
  <c r="AF154" i="15"/>
  <c r="AG154" i="15"/>
  <c r="AH154" i="15"/>
  <c r="AI154" i="15"/>
  <c r="AJ154" i="15"/>
  <c r="AK154" i="15"/>
  <c r="AL154" i="15"/>
  <c r="AM154" i="15"/>
  <c r="J154" i="15"/>
  <c r="L136" i="15"/>
  <c r="M136" i="15"/>
  <c r="N136" i="15"/>
  <c r="O136" i="15"/>
  <c r="P136" i="15"/>
  <c r="Q136" i="15"/>
  <c r="R136" i="15"/>
  <c r="S136" i="15"/>
  <c r="W136" i="15"/>
  <c r="X136" i="15"/>
  <c r="AA136" i="15"/>
  <c r="AB136" i="15"/>
  <c r="AC136" i="15"/>
  <c r="AD136" i="15"/>
  <c r="AE136" i="15"/>
  <c r="AF136" i="15"/>
  <c r="AG136" i="15"/>
  <c r="AH136" i="15"/>
  <c r="AI136" i="15"/>
  <c r="AJ136" i="15"/>
  <c r="AK136" i="15"/>
  <c r="AL136" i="15"/>
  <c r="AM136" i="15"/>
  <c r="J136" i="15"/>
  <c r="K478" i="1"/>
  <c r="L478" i="1"/>
  <c r="K464" i="1"/>
  <c r="L464" i="1"/>
  <c r="L121" i="15"/>
  <c r="M121" i="15"/>
  <c r="N121" i="15"/>
  <c r="O121" i="15"/>
  <c r="P121" i="15"/>
  <c r="Q121" i="15"/>
  <c r="R121" i="15"/>
  <c r="S121" i="15"/>
  <c r="W121" i="15"/>
  <c r="X121" i="15"/>
  <c r="Z121" i="15"/>
  <c r="AA121" i="15"/>
  <c r="AB121" i="15"/>
  <c r="AC121" i="15"/>
  <c r="AD121" i="15"/>
  <c r="AE121" i="15"/>
  <c r="AF121" i="15"/>
  <c r="AG121" i="15"/>
  <c r="AH121" i="15"/>
  <c r="AI121" i="15"/>
  <c r="AJ121" i="15"/>
  <c r="AK121" i="15"/>
  <c r="AL121" i="15"/>
  <c r="AM121" i="15"/>
  <c r="J121" i="15"/>
  <c r="L106" i="15"/>
  <c r="M106" i="15"/>
  <c r="N106" i="15"/>
  <c r="O106" i="15"/>
  <c r="P106" i="15"/>
  <c r="Q106" i="15"/>
  <c r="R106" i="15"/>
  <c r="S106" i="15"/>
  <c r="W106" i="15"/>
  <c r="X106" i="15"/>
  <c r="Z106" i="15"/>
  <c r="AA106" i="15"/>
  <c r="AB106" i="15"/>
  <c r="AC106" i="15"/>
  <c r="AD106" i="15"/>
  <c r="AE106" i="15"/>
  <c r="AF106" i="15"/>
  <c r="AG106" i="15"/>
  <c r="AH106" i="15"/>
  <c r="AI106" i="15"/>
  <c r="AJ106" i="15"/>
  <c r="AK106" i="15"/>
  <c r="AK116" i="15" s="1"/>
  <c r="AL106" i="15"/>
  <c r="AL116" i="15" s="1"/>
  <c r="AM106" i="15"/>
  <c r="J106" i="15"/>
  <c r="B64" i="7"/>
  <c r="C64" i="7"/>
  <c r="E64" i="7"/>
  <c r="H64" i="7"/>
  <c r="K64" i="7"/>
  <c r="A64" i="7"/>
  <c r="H47" i="7"/>
  <c r="AR246" i="1"/>
  <c r="AQ246" i="1"/>
  <c r="AP246" i="1"/>
  <c r="AO246" i="1"/>
  <c r="AN246" i="1"/>
  <c r="T227" i="1" a="1"/>
  <c r="T227" i="1" s="1"/>
  <c r="AR227" i="1"/>
  <c r="AQ227" i="1"/>
  <c r="AP227" i="1"/>
  <c r="AO227" i="1"/>
  <c r="AN227" i="1"/>
  <c r="AN239" i="1"/>
  <c r="AO239" i="1"/>
  <c r="AP239" i="1"/>
  <c r="AQ239" i="1"/>
  <c r="AR239" i="1"/>
  <c r="AN214" i="1"/>
  <c r="AO214" i="1"/>
  <c r="AP214" i="1"/>
  <c r="AQ214" i="1"/>
  <c r="AR214" i="1"/>
  <c r="T46" i="7"/>
  <c r="AN591" i="1"/>
  <c r="AN46" i="7" s="1"/>
  <c r="AO591" i="1"/>
  <c r="AO46" i="7" s="1"/>
  <c r="AP591" i="1"/>
  <c r="AP46" i="7" s="1"/>
  <c r="AQ591" i="1"/>
  <c r="AQ46" i="7" s="1"/>
  <c r="AR591" i="1"/>
  <c r="AR46" i="7" s="1"/>
  <c r="AS591" i="1"/>
  <c r="AS46" i="7" s="1"/>
  <c r="AN575" i="1"/>
  <c r="AO575" i="1"/>
  <c r="AO63" i="7" s="1"/>
  <c r="AP575" i="1"/>
  <c r="AP63" i="7" s="1"/>
  <c r="AQ575" i="1"/>
  <c r="AQ63" i="7" s="1"/>
  <c r="AR575" i="1"/>
  <c r="AR63" i="7" s="1"/>
  <c r="AS575" i="1"/>
  <c r="T63" i="7"/>
  <c r="AN67" i="15"/>
  <c r="AO67" i="15"/>
  <c r="AP67" i="15"/>
  <c r="AQ67" i="15"/>
  <c r="AR67" i="15"/>
  <c r="AK93" i="15"/>
  <c r="AK96" i="15" s="1"/>
  <c r="AL93" i="15"/>
  <c r="AL96" i="15" s="1"/>
  <c r="AM93" i="15"/>
  <c r="AJ93" i="15"/>
  <c r="AI93" i="15"/>
  <c r="AH93" i="15"/>
  <c r="AG93" i="15"/>
  <c r="AF93" i="15"/>
  <c r="AE93" i="15"/>
  <c r="AD93" i="15"/>
  <c r="AC93" i="15"/>
  <c r="AB93" i="15"/>
  <c r="AA93" i="15"/>
  <c r="Z93" i="15"/>
  <c r="X93" i="15"/>
  <c r="W93" i="15"/>
  <c r="S93" i="15"/>
  <c r="R93" i="15"/>
  <c r="Q93" i="15"/>
  <c r="P93" i="15"/>
  <c r="O93" i="15"/>
  <c r="N93" i="15"/>
  <c r="M93" i="15"/>
  <c r="L93" i="15"/>
  <c r="K93" i="15"/>
  <c r="J93" i="15"/>
  <c r="H93" i="15"/>
  <c r="E93" i="15"/>
  <c r="C93" i="15"/>
  <c r="B93" i="15"/>
  <c r="A93" i="15"/>
  <c r="T512" i="1" a="1"/>
  <c r="T512" i="1" s="1"/>
  <c r="AR512" i="1"/>
  <c r="AR93" i="15" s="1"/>
  <c r="AQ512" i="1"/>
  <c r="AQ93" i="15" s="1"/>
  <c r="AP512" i="1"/>
  <c r="AP93" i="15" s="1"/>
  <c r="AO512" i="1"/>
  <c r="AO93" i="15" s="1"/>
  <c r="AN512" i="1"/>
  <c r="AN93" i="15" s="1"/>
  <c r="AK153" i="15"/>
  <c r="AL153" i="15"/>
  <c r="AM153" i="15"/>
  <c r="AJ153" i="15"/>
  <c r="AI153" i="15"/>
  <c r="AH153" i="15"/>
  <c r="AG153" i="15"/>
  <c r="AF153" i="15"/>
  <c r="AE153" i="15"/>
  <c r="AD153" i="15"/>
  <c r="AC153" i="15"/>
  <c r="AB153" i="15"/>
  <c r="AA153" i="15"/>
  <c r="Z153" i="15"/>
  <c r="X153" i="15"/>
  <c r="W153" i="15"/>
  <c r="S153" i="15"/>
  <c r="R153" i="15"/>
  <c r="Q153" i="15"/>
  <c r="P153" i="15"/>
  <c r="O153" i="15"/>
  <c r="N153" i="15"/>
  <c r="M153" i="15"/>
  <c r="L153" i="15"/>
  <c r="J153" i="15"/>
  <c r="H153" i="15"/>
  <c r="E153" i="15"/>
  <c r="C153" i="15"/>
  <c r="B153" i="15"/>
  <c r="A153" i="15"/>
  <c r="T493" i="1" a="1"/>
  <c r="T493" i="1" s="1"/>
  <c r="AR493" i="1"/>
  <c r="AR153" i="15" s="1"/>
  <c r="AQ493" i="1"/>
  <c r="AQ153" i="15" s="1"/>
  <c r="AP493" i="1"/>
  <c r="AP153" i="15" s="1"/>
  <c r="AO493" i="1"/>
  <c r="AO153" i="15" s="1"/>
  <c r="AN493" i="1"/>
  <c r="AN153" i="15" s="1"/>
  <c r="AR450" i="1"/>
  <c r="AQ450" i="1"/>
  <c r="AP450" i="1"/>
  <c r="AO450" i="1"/>
  <c r="AN450" i="1"/>
  <c r="T450" i="1" a="1"/>
  <c r="T450" i="1" s="1"/>
  <c r="AN105" i="15"/>
  <c r="AO105" i="15"/>
  <c r="AP105" i="15"/>
  <c r="AQ105" i="15"/>
  <c r="AR105" i="15"/>
  <c r="T105" i="15" a="1"/>
  <c r="T105" i="15" s="1"/>
  <c r="AS572" i="1"/>
  <c r="AS60" i="7" s="1"/>
  <c r="AS573" i="1"/>
  <c r="AS61" i="7" s="1"/>
  <c r="AS571" i="1"/>
  <c r="AS59" i="7" s="1"/>
  <c r="AS607" i="1"/>
  <c r="AS36" i="7" s="1"/>
  <c r="AS606" i="1"/>
  <c r="AS35" i="7" s="1"/>
  <c r="AS605" i="1"/>
  <c r="AS34" i="7" s="1"/>
  <c r="AS587" i="1"/>
  <c r="AS42" i="7" s="1"/>
  <c r="T83" i="15" l="1"/>
  <c r="AS236" i="1"/>
  <c r="AS41" i="1"/>
  <c r="AS58" i="1"/>
  <c r="AS262" i="1"/>
  <c r="AS14" i="1"/>
  <c r="T93" i="15"/>
  <c r="AS62" i="1"/>
  <c r="AS18" i="1"/>
  <c r="T153" i="15"/>
  <c r="AS53" i="1"/>
  <c r="AS76" i="7"/>
  <c r="Y154" i="15"/>
  <c r="S464" i="1"/>
  <c r="Y153" i="15"/>
  <c r="W478" i="1"/>
  <c r="Y135" i="15"/>
  <c r="W464" i="1"/>
  <c r="Y104" i="15"/>
  <c r="Y106" i="15"/>
  <c r="Y136" i="15"/>
  <c r="Y121" i="15"/>
  <c r="AK146" i="15"/>
  <c r="AL146" i="15"/>
  <c r="AL131" i="15"/>
  <c r="AK131" i="15"/>
  <c r="AS104" i="15"/>
  <c r="AB449" i="1"/>
  <c r="AR449" i="1" s="1"/>
  <c r="M449" i="1"/>
  <c r="AA449" i="1"/>
  <c r="AQ449" i="1" s="1"/>
  <c r="Z449" i="1"/>
  <c r="AP449" i="1" s="1"/>
  <c r="S449" i="1"/>
  <c r="W449" i="1"/>
  <c r="AO449" i="1" s="1"/>
  <c r="X449" i="1"/>
  <c r="T251" i="1"/>
  <c r="AP251" i="1"/>
  <c r="AQ251" i="1"/>
  <c r="AN251" i="1"/>
  <c r="AO251" i="1"/>
  <c r="AR251" i="1"/>
  <c r="AS281" i="1"/>
  <c r="AS381" i="1"/>
  <c r="AS251" i="1"/>
  <c r="AS244" i="1"/>
  <c r="AS106" i="15"/>
  <c r="AS63" i="7"/>
  <c r="AN63" i="7"/>
  <c r="AS399" i="1"/>
  <c r="AS289" i="1"/>
  <c r="AS201" i="1"/>
  <c r="AS336" i="1"/>
  <c r="AS144" i="1"/>
  <c r="AL164" i="15"/>
  <c r="AK164" i="15"/>
  <c r="AS121" i="15"/>
  <c r="AS154" i="15"/>
  <c r="R449" i="1"/>
  <c r="AS449" i="1" s="1"/>
  <c r="AS93" i="15"/>
  <c r="AS136" i="15"/>
  <c r="AS153" i="15"/>
  <c r="AN449" i="1" l="1"/>
  <c r="K523" i="1" l="1"/>
  <c r="L523" i="1"/>
  <c r="M523" i="1"/>
  <c r="N523" i="1"/>
  <c r="O523" i="1"/>
  <c r="P523" i="1"/>
  <c r="Q523" i="1"/>
  <c r="R523" i="1"/>
  <c r="S523" i="1"/>
  <c r="U523" i="1"/>
  <c r="V523" i="1"/>
  <c r="W523" i="1"/>
  <c r="X523" i="1"/>
  <c r="Z523" i="1"/>
  <c r="AA523" i="1"/>
  <c r="AB523" i="1"/>
  <c r="AC523" i="1"/>
  <c r="AD523" i="1"/>
  <c r="AE523" i="1"/>
  <c r="AF523" i="1"/>
  <c r="AG523" i="1"/>
  <c r="AH523" i="1"/>
  <c r="AI523" i="1"/>
  <c r="AJ523" i="1"/>
  <c r="AK523" i="1"/>
  <c r="AL523" i="1"/>
  <c r="AM523" i="1"/>
  <c r="C523" i="1"/>
  <c r="E523" i="1"/>
  <c r="H523" i="1"/>
  <c r="A523" i="1"/>
  <c r="K518" i="1"/>
  <c r="L518" i="1"/>
  <c r="M518" i="1"/>
  <c r="N518" i="1"/>
  <c r="O518" i="1"/>
  <c r="P518" i="1"/>
  <c r="Q518" i="1"/>
  <c r="R518" i="1"/>
  <c r="S518" i="1"/>
  <c r="U518" i="1"/>
  <c r="V518" i="1"/>
  <c r="W518" i="1"/>
  <c r="X518" i="1"/>
  <c r="Z518" i="1"/>
  <c r="AA518" i="1"/>
  <c r="AB518" i="1"/>
  <c r="AC518" i="1"/>
  <c r="AD518" i="1"/>
  <c r="AE518" i="1"/>
  <c r="AF518" i="1"/>
  <c r="AG518" i="1"/>
  <c r="AH518" i="1"/>
  <c r="AI518" i="1"/>
  <c r="AJ518" i="1"/>
  <c r="AK518" i="1"/>
  <c r="AL518" i="1"/>
  <c r="AM518" i="1"/>
  <c r="C518" i="1"/>
  <c r="E518" i="1"/>
  <c r="H518" i="1"/>
  <c r="A518" i="1"/>
  <c r="L511" i="1"/>
  <c r="M511" i="1"/>
  <c r="N511" i="1"/>
  <c r="O511" i="1"/>
  <c r="P511" i="1"/>
  <c r="Q511" i="1"/>
  <c r="R511" i="1"/>
  <c r="S511" i="1"/>
  <c r="U511" i="1"/>
  <c r="V511" i="1"/>
  <c r="W511" i="1"/>
  <c r="X511" i="1"/>
  <c r="Z511" i="1"/>
  <c r="AA511" i="1"/>
  <c r="AB511" i="1"/>
  <c r="AC511" i="1"/>
  <c r="AD511" i="1"/>
  <c r="AE511" i="1"/>
  <c r="AF511" i="1"/>
  <c r="AG511" i="1"/>
  <c r="AH511" i="1"/>
  <c r="AI511" i="1"/>
  <c r="AJ511" i="1"/>
  <c r="AK511" i="1"/>
  <c r="AL511" i="1"/>
  <c r="AM511" i="1"/>
  <c r="C511" i="1"/>
  <c r="E511" i="1"/>
  <c r="H511" i="1"/>
  <c r="L506" i="1"/>
  <c r="M506" i="1"/>
  <c r="N506" i="1"/>
  <c r="O506" i="1"/>
  <c r="P506" i="1"/>
  <c r="Q506" i="1"/>
  <c r="R506" i="1"/>
  <c r="S506" i="1"/>
  <c r="U506" i="1"/>
  <c r="V506" i="1"/>
  <c r="W506" i="1"/>
  <c r="X506" i="1"/>
  <c r="Z506" i="1"/>
  <c r="AA506" i="1"/>
  <c r="AB506" i="1"/>
  <c r="AC506" i="1"/>
  <c r="AD506" i="1"/>
  <c r="AE506" i="1"/>
  <c r="AF506" i="1"/>
  <c r="AG506" i="1"/>
  <c r="AH506" i="1"/>
  <c r="AI506" i="1"/>
  <c r="AJ506" i="1"/>
  <c r="AK506" i="1"/>
  <c r="AL506" i="1"/>
  <c r="AM506" i="1"/>
  <c r="C506" i="1"/>
  <c r="E506" i="1"/>
  <c r="H506" i="1"/>
  <c r="M492" i="1"/>
  <c r="N492" i="1"/>
  <c r="O492" i="1"/>
  <c r="P492" i="1"/>
  <c r="R492" i="1"/>
  <c r="S492" i="1"/>
  <c r="U492" i="1"/>
  <c r="V492" i="1"/>
  <c r="W492" i="1"/>
  <c r="X492" i="1"/>
  <c r="Z492" i="1"/>
  <c r="AA492" i="1"/>
  <c r="AB492" i="1"/>
  <c r="AC492" i="1"/>
  <c r="AD492" i="1"/>
  <c r="AE492" i="1"/>
  <c r="AF492" i="1"/>
  <c r="AG492" i="1"/>
  <c r="AH492" i="1"/>
  <c r="AI492" i="1"/>
  <c r="AJ492" i="1"/>
  <c r="AK492" i="1"/>
  <c r="AL492" i="1"/>
  <c r="AM492" i="1"/>
  <c r="L492" i="1"/>
  <c r="C492" i="1"/>
  <c r="E492" i="1"/>
  <c r="M438" i="1"/>
  <c r="N438" i="1"/>
  <c r="O438" i="1"/>
  <c r="P438" i="1"/>
  <c r="Q438" i="1"/>
  <c r="R438" i="1"/>
  <c r="S438" i="1"/>
  <c r="U438" i="1"/>
  <c r="V438" i="1"/>
  <c r="W438" i="1"/>
  <c r="X438" i="1"/>
  <c r="Z438" i="1"/>
  <c r="AA438" i="1"/>
  <c r="AB438" i="1"/>
  <c r="AC438" i="1"/>
  <c r="AD438" i="1"/>
  <c r="AE438" i="1"/>
  <c r="AF438" i="1"/>
  <c r="AG438" i="1"/>
  <c r="AH438" i="1"/>
  <c r="AI438" i="1"/>
  <c r="AJ438" i="1"/>
  <c r="AK438" i="1"/>
  <c r="AL438" i="1"/>
  <c r="AM438" i="1"/>
  <c r="L438" i="1"/>
  <c r="C438" i="1"/>
  <c r="E438" i="1"/>
  <c r="H438" i="1"/>
  <c r="A511" i="1"/>
  <c r="A506" i="1"/>
  <c r="A492" i="1"/>
  <c r="A438" i="1"/>
  <c r="O432" i="1"/>
  <c r="U432" i="1"/>
  <c r="V432" i="1"/>
  <c r="AC432" i="1"/>
  <c r="AD432" i="1"/>
  <c r="AE432" i="1"/>
  <c r="AF432" i="1"/>
  <c r="AG432" i="1"/>
  <c r="AH432" i="1"/>
  <c r="AI432" i="1"/>
  <c r="AJ432" i="1"/>
  <c r="R431" i="1"/>
  <c r="S431" i="1"/>
  <c r="W431" i="1"/>
  <c r="W432" i="1" s="1"/>
  <c r="X431" i="1"/>
  <c r="X432" i="1" s="1"/>
  <c r="Z431" i="1"/>
  <c r="Z432" i="1" s="1"/>
  <c r="AA431" i="1"/>
  <c r="AA432" i="1" s="1"/>
  <c r="AB431" i="1"/>
  <c r="AB432" i="1" s="1"/>
  <c r="AK431" i="1"/>
  <c r="AK432" i="1" s="1"/>
  <c r="AL431" i="1"/>
  <c r="AL432" i="1" s="1"/>
  <c r="P431" i="1"/>
  <c r="P432" i="1" s="1"/>
  <c r="N431" i="1"/>
  <c r="N432" i="1" s="1"/>
  <c r="K431" i="1"/>
  <c r="K432" i="1" s="1"/>
  <c r="L431" i="1"/>
  <c r="M431" i="1"/>
  <c r="M432" i="1" s="1"/>
  <c r="C431" i="1"/>
  <c r="D431" i="1"/>
  <c r="E431" i="1"/>
  <c r="F431" i="1"/>
  <c r="G431" i="1"/>
  <c r="H431" i="1"/>
  <c r="B431" i="1"/>
  <c r="A431" i="1"/>
  <c r="T66" i="15" a="1"/>
  <c r="T66" i="15" s="1"/>
  <c r="T69" i="15" s="1"/>
  <c r="T45" i="15" a="1"/>
  <c r="T45" i="15" s="1"/>
  <c r="T48" i="15" a="1"/>
  <c r="T48" i="15" s="1"/>
  <c r="T50" i="15" a="1"/>
  <c r="T50" i="15" s="1"/>
  <c r="T52" i="15" a="1"/>
  <c r="T52" i="15" s="1"/>
  <c r="T63" i="15" a="1"/>
  <c r="T63" i="15" s="1"/>
  <c r="T71" i="15" a="1"/>
  <c r="T71" i="15" s="1"/>
  <c r="T99" i="15" a="1"/>
  <c r="T99" i="15" s="1"/>
  <c r="T506" i="1" s="1"/>
  <c r="T148" i="15" a="1"/>
  <c r="T148" i="15" s="1"/>
  <c r="T152" i="15" a="1"/>
  <c r="T152" i="15" s="1"/>
  <c r="T492" i="1" s="1"/>
  <c r="T179" i="15" a="1"/>
  <c r="T179" i="15" s="1"/>
  <c r="AR104" i="15"/>
  <c r="AQ104" i="15"/>
  <c r="AP104" i="15"/>
  <c r="AO104" i="15"/>
  <c r="AN104" i="15"/>
  <c r="AR231" i="1"/>
  <c r="AQ231" i="1"/>
  <c r="AP231" i="1"/>
  <c r="AO231" i="1"/>
  <c r="AN231" i="1"/>
  <c r="T231" i="1" a="1"/>
  <c r="T231" i="1" s="1"/>
  <c r="AN238" i="1"/>
  <c r="AN244" i="1" s="1"/>
  <c r="AR238" i="1"/>
  <c r="AR244" i="1" s="1"/>
  <c r="AQ238" i="1"/>
  <c r="AQ244" i="1" s="1"/>
  <c r="AP238" i="1"/>
  <c r="AP244" i="1" s="1"/>
  <c r="AO238" i="1"/>
  <c r="AO244" i="1" s="1"/>
  <c r="T244" i="1"/>
  <c r="A82" i="7"/>
  <c r="B82" i="7"/>
  <c r="C82" i="7"/>
  <c r="D82" i="7"/>
  <c r="E82" i="7"/>
  <c r="F82" i="7"/>
  <c r="G82" i="7"/>
  <c r="H82" i="7"/>
  <c r="K82" i="7"/>
  <c r="M82" i="7"/>
  <c r="R82" i="7"/>
  <c r="S82" i="7"/>
  <c r="T82" i="7"/>
  <c r="W82" i="7"/>
  <c r="X82" i="7"/>
  <c r="Z82" i="7"/>
  <c r="AA82" i="7"/>
  <c r="AB82" i="7"/>
  <c r="A63" i="7"/>
  <c r="B63" i="7"/>
  <c r="C63" i="7"/>
  <c r="E63" i="7"/>
  <c r="H63" i="7"/>
  <c r="K63" i="7"/>
  <c r="A46" i="7"/>
  <c r="B46" i="7"/>
  <c r="A38" i="7"/>
  <c r="B45" i="7"/>
  <c r="C46" i="7"/>
  <c r="H46" i="7"/>
  <c r="B38" i="7"/>
  <c r="C38" i="7"/>
  <c r="D38" i="7"/>
  <c r="E38" i="7"/>
  <c r="H38" i="7"/>
  <c r="K38" i="7"/>
  <c r="L38" i="7"/>
  <c r="N38" i="7"/>
  <c r="P38" i="7"/>
  <c r="R38" i="7"/>
  <c r="S38" i="7"/>
  <c r="T38" i="7"/>
  <c r="W38" i="7"/>
  <c r="X38" i="7"/>
  <c r="Z38" i="7"/>
  <c r="AA38" i="7"/>
  <c r="AB38" i="7"/>
  <c r="J609" i="1"/>
  <c r="AR609" i="1" s="1"/>
  <c r="J152" i="15"/>
  <c r="J135" i="15"/>
  <c r="AS135" i="15" s="1"/>
  <c r="J120" i="15"/>
  <c r="J179" i="15"/>
  <c r="J99" i="15"/>
  <c r="J71" i="15"/>
  <c r="J66" i="15"/>
  <c r="J69" i="15" s="1"/>
  <c r="J63" i="15"/>
  <c r="J52" i="15"/>
  <c r="J50" i="15"/>
  <c r="J48" i="15"/>
  <c r="J45" i="15"/>
  <c r="J34" i="15"/>
  <c r="J35" i="15" s="1"/>
  <c r="J213" i="1"/>
  <c r="J225" i="1" s="1"/>
  <c r="K175" i="15"/>
  <c r="L175" i="15"/>
  <c r="M175" i="15"/>
  <c r="N175" i="15"/>
  <c r="O175" i="15"/>
  <c r="P175" i="15"/>
  <c r="Q175" i="15"/>
  <c r="R175" i="15"/>
  <c r="S175" i="15"/>
  <c r="W175" i="15"/>
  <c r="X175" i="15"/>
  <c r="Z175" i="15"/>
  <c r="AA175" i="15"/>
  <c r="AB175" i="15"/>
  <c r="AC175" i="15"/>
  <c r="AD175" i="15"/>
  <c r="AE175" i="15"/>
  <c r="AF175" i="15"/>
  <c r="AG175" i="15"/>
  <c r="AH175" i="15"/>
  <c r="AI175" i="15"/>
  <c r="AJ175" i="15"/>
  <c r="AM175" i="15"/>
  <c r="AT175" i="15"/>
  <c r="AU175" i="15"/>
  <c r="K176" i="15"/>
  <c r="L176" i="15"/>
  <c r="M176" i="15"/>
  <c r="N176" i="15"/>
  <c r="O176" i="15"/>
  <c r="P176" i="15"/>
  <c r="Q176" i="15"/>
  <c r="R176" i="15"/>
  <c r="S176" i="15"/>
  <c r="W176" i="15"/>
  <c r="X176" i="15"/>
  <c r="Z176" i="15"/>
  <c r="AA176" i="15"/>
  <c r="AB176" i="15"/>
  <c r="AC176" i="15"/>
  <c r="AD176" i="15"/>
  <c r="AE176" i="15"/>
  <c r="AF176" i="15"/>
  <c r="AG176" i="15"/>
  <c r="AH176" i="15"/>
  <c r="AI176" i="15"/>
  <c r="AJ176" i="15"/>
  <c r="AM176" i="15"/>
  <c r="AT176" i="15"/>
  <c r="AU176" i="15"/>
  <c r="K177" i="15"/>
  <c r="L177" i="15"/>
  <c r="M177" i="15"/>
  <c r="N177" i="15"/>
  <c r="O177" i="15"/>
  <c r="P177" i="15"/>
  <c r="Q177" i="15"/>
  <c r="R177" i="15"/>
  <c r="S177" i="15"/>
  <c r="W177" i="15"/>
  <c r="X177" i="15"/>
  <c r="Z177" i="15"/>
  <c r="AA177" i="15"/>
  <c r="AB177" i="15"/>
  <c r="AC177" i="15"/>
  <c r="AD177" i="15"/>
  <c r="AE177" i="15"/>
  <c r="AF177" i="15"/>
  <c r="AG177" i="15"/>
  <c r="AH177" i="15"/>
  <c r="AI177" i="15"/>
  <c r="AJ177" i="15"/>
  <c r="AM177" i="15"/>
  <c r="AT177" i="15"/>
  <c r="AU177" i="15"/>
  <c r="K178" i="15"/>
  <c r="L178" i="15"/>
  <c r="M178" i="15"/>
  <c r="N178" i="15"/>
  <c r="O178" i="15"/>
  <c r="P178" i="15"/>
  <c r="Q178" i="15"/>
  <c r="R178" i="15"/>
  <c r="S178" i="15"/>
  <c r="W178" i="15"/>
  <c r="X178" i="15"/>
  <c r="Z178" i="15"/>
  <c r="AA178" i="15"/>
  <c r="AB178" i="15"/>
  <c r="AC178" i="15"/>
  <c r="AD178" i="15"/>
  <c r="AE178" i="15"/>
  <c r="AF178" i="15"/>
  <c r="AG178" i="15"/>
  <c r="AH178" i="15"/>
  <c r="AI178" i="15"/>
  <c r="AJ178" i="15"/>
  <c r="AM178" i="15"/>
  <c r="AT178" i="15"/>
  <c r="AU178" i="15"/>
  <c r="J176" i="15"/>
  <c r="J177" i="15"/>
  <c r="J178" i="15"/>
  <c r="J175" i="15"/>
  <c r="B175" i="15"/>
  <c r="C175" i="15"/>
  <c r="E175" i="15"/>
  <c r="H175" i="15"/>
  <c r="B176" i="15"/>
  <c r="C176" i="15"/>
  <c r="E176" i="15"/>
  <c r="H176" i="15"/>
  <c r="B177" i="15"/>
  <c r="C177" i="15"/>
  <c r="E177" i="15"/>
  <c r="H177" i="15"/>
  <c r="B178" i="15"/>
  <c r="C178" i="15"/>
  <c r="E178" i="15"/>
  <c r="H178" i="15"/>
  <c r="A176" i="15"/>
  <c r="A177" i="15"/>
  <c r="A178" i="15"/>
  <c r="A175" i="15"/>
  <c r="T37" i="15"/>
  <c r="AN37" i="15" s="1"/>
  <c r="AQ37" i="15"/>
  <c r="AR37" i="15"/>
  <c r="T38" i="15"/>
  <c r="AN38" i="15" s="1"/>
  <c r="AQ38" i="15"/>
  <c r="AR38" i="15"/>
  <c r="T39" i="15"/>
  <c r="AN39" i="15" s="1"/>
  <c r="AQ39" i="15"/>
  <c r="AR39" i="15"/>
  <c r="T40" i="15"/>
  <c r="AN40" i="15" s="1"/>
  <c r="AQ40" i="15"/>
  <c r="AR40" i="15"/>
  <c r="T41" i="15"/>
  <c r="AN41" i="15" s="1"/>
  <c r="AQ41" i="15"/>
  <c r="AR41" i="15"/>
  <c r="A42" i="15"/>
  <c r="B42" i="15"/>
  <c r="C42" i="15"/>
  <c r="E42" i="15"/>
  <c r="H42" i="15"/>
  <c r="J42" i="15"/>
  <c r="K42" i="15"/>
  <c r="L42" i="15"/>
  <c r="M42" i="15"/>
  <c r="N42" i="15"/>
  <c r="O42" i="15"/>
  <c r="P42" i="15"/>
  <c r="Q42" i="15"/>
  <c r="R42" i="15"/>
  <c r="S42" i="15"/>
  <c r="W42" i="15"/>
  <c r="X42" i="15"/>
  <c r="Z42" i="15"/>
  <c r="AA42" i="15"/>
  <c r="AB42" i="15"/>
  <c r="AC42" i="15"/>
  <c r="AD42" i="15"/>
  <c r="AE42" i="15"/>
  <c r="AF42" i="15"/>
  <c r="AG42" i="15"/>
  <c r="AH42" i="15"/>
  <c r="AI42" i="15"/>
  <c r="AJ42" i="15"/>
  <c r="AM42" i="15"/>
  <c r="A43" i="15"/>
  <c r="B43" i="15"/>
  <c r="C43" i="15"/>
  <c r="E43" i="15"/>
  <c r="H43" i="15"/>
  <c r="J43" i="15"/>
  <c r="K43" i="15"/>
  <c r="L43" i="15"/>
  <c r="M43" i="15"/>
  <c r="N43" i="15"/>
  <c r="O43" i="15"/>
  <c r="P43" i="15"/>
  <c r="Q43" i="15"/>
  <c r="R43" i="15"/>
  <c r="S43" i="15"/>
  <c r="W43" i="15"/>
  <c r="X43" i="15"/>
  <c r="Z43" i="15"/>
  <c r="AA43" i="15"/>
  <c r="AB43" i="15"/>
  <c r="AC43" i="15"/>
  <c r="AD43" i="15"/>
  <c r="AE43" i="15"/>
  <c r="AF43" i="15"/>
  <c r="AG43" i="15"/>
  <c r="AH43" i="15"/>
  <c r="AI43" i="15"/>
  <c r="AJ43" i="15"/>
  <c r="AM43" i="15"/>
  <c r="A44" i="15"/>
  <c r="B44" i="15"/>
  <c r="C44" i="15"/>
  <c r="E44" i="15"/>
  <c r="H44" i="15"/>
  <c r="J44" i="15"/>
  <c r="K44" i="15"/>
  <c r="L44" i="15"/>
  <c r="M44" i="15"/>
  <c r="N44" i="15"/>
  <c r="O44" i="15"/>
  <c r="P44" i="15"/>
  <c r="Q44" i="15"/>
  <c r="R44" i="15"/>
  <c r="S44" i="15"/>
  <c r="W44" i="15"/>
  <c r="X44" i="15"/>
  <c r="Z44" i="15"/>
  <c r="AA44" i="15"/>
  <c r="AB44" i="15"/>
  <c r="AC44" i="15"/>
  <c r="AD44" i="15"/>
  <c r="AE44" i="15"/>
  <c r="AF44" i="15"/>
  <c r="AG44" i="15"/>
  <c r="AH44" i="15"/>
  <c r="AI44" i="15"/>
  <c r="AJ44" i="15"/>
  <c r="AM44" i="15"/>
  <c r="T54" i="15"/>
  <c r="T55" i="15"/>
  <c r="K170" i="15"/>
  <c r="L170" i="15"/>
  <c r="M170" i="15"/>
  <c r="N170" i="15"/>
  <c r="O170" i="15"/>
  <c r="P170" i="15"/>
  <c r="Q170" i="15"/>
  <c r="R170" i="15"/>
  <c r="R173" i="15" s="1"/>
  <c r="S170" i="15"/>
  <c r="S173" i="15" s="1"/>
  <c r="W170" i="15"/>
  <c r="W173" i="15" s="1"/>
  <c r="X170" i="15"/>
  <c r="Z170" i="15"/>
  <c r="Z173" i="15" s="1"/>
  <c r="AA170" i="15"/>
  <c r="AA173" i="15" s="1"/>
  <c r="AB170" i="15"/>
  <c r="AB173" i="15" s="1"/>
  <c r="AC170" i="15"/>
  <c r="AD170" i="15"/>
  <c r="AE170" i="15"/>
  <c r="AF170" i="15"/>
  <c r="AG170" i="15"/>
  <c r="AH170" i="15"/>
  <c r="AI170" i="15"/>
  <c r="AJ170" i="15"/>
  <c r="AM170" i="15"/>
  <c r="AN170" i="15"/>
  <c r="AO170" i="15"/>
  <c r="AP170" i="15"/>
  <c r="AQ170" i="15"/>
  <c r="AR170" i="15"/>
  <c r="L102" i="15"/>
  <c r="M102" i="15"/>
  <c r="N102" i="15"/>
  <c r="O102" i="15"/>
  <c r="P102" i="15"/>
  <c r="Q102" i="15"/>
  <c r="R102" i="15"/>
  <c r="S102" i="15"/>
  <c r="W102" i="15"/>
  <c r="X102" i="15"/>
  <c r="Z102" i="15"/>
  <c r="AA102" i="15"/>
  <c r="AB102" i="15"/>
  <c r="AC102" i="15"/>
  <c r="AD102" i="15"/>
  <c r="AE102" i="15"/>
  <c r="AF102" i="15"/>
  <c r="AG102" i="15"/>
  <c r="AH102" i="15"/>
  <c r="AI102" i="15"/>
  <c r="AJ102" i="15"/>
  <c r="AM102" i="15"/>
  <c r="L103" i="15"/>
  <c r="M103" i="15"/>
  <c r="N103" i="15"/>
  <c r="O103" i="15"/>
  <c r="P103" i="15"/>
  <c r="Q103" i="15"/>
  <c r="R103" i="15"/>
  <c r="S103" i="15"/>
  <c r="W103" i="15"/>
  <c r="X103" i="15"/>
  <c r="Z103" i="15"/>
  <c r="AA103" i="15"/>
  <c r="AB103" i="15"/>
  <c r="AC103" i="15"/>
  <c r="AD103" i="15"/>
  <c r="AE103" i="15"/>
  <c r="AF103" i="15"/>
  <c r="AG103" i="15"/>
  <c r="AH103" i="15"/>
  <c r="AI103" i="15"/>
  <c r="AJ103" i="15"/>
  <c r="AM103" i="15"/>
  <c r="L118" i="15"/>
  <c r="M118" i="15"/>
  <c r="N118" i="15"/>
  <c r="O118" i="15"/>
  <c r="P118" i="15"/>
  <c r="Q118" i="15"/>
  <c r="R118" i="15"/>
  <c r="S118" i="15"/>
  <c r="W118" i="15"/>
  <c r="X118" i="15"/>
  <c r="Z118" i="15"/>
  <c r="AA118" i="15"/>
  <c r="AB118" i="15"/>
  <c r="AC118" i="15"/>
  <c r="AD118" i="15"/>
  <c r="AE118" i="15"/>
  <c r="AF118" i="15"/>
  <c r="AG118" i="15"/>
  <c r="AH118" i="15"/>
  <c r="AI118" i="15"/>
  <c r="AJ118" i="15"/>
  <c r="AM118" i="15"/>
  <c r="L119" i="15"/>
  <c r="M119" i="15"/>
  <c r="N119" i="15"/>
  <c r="O119" i="15"/>
  <c r="P119" i="15"/>
  <c r="Q119" i="15"/>
  <c r="R119" i="15"/>
  <c r="S119" i="15"/>
  <c r="W119" i="15"/>
  <c r="X119" i="15"/>
  <c r="Z119" i="15"/>
  <c r="AA119" i="15"/>
  <c r="AB119" i="15"/>
  <c r="AC119" i="15"/>
  <c r="AD119" i="15"/>
  <c r="AE119" i="15"/>
  <c r="AF119" i="15"/>
  <c r="AG119" i="15"/>
  <c r="AH119" i="15"/>
  <c r="AI119" i="15"/>
  <c r="AJ119" i="15"/>
  <c r="AM119" i="15"/>
  <c r="AR119" i="15"/>
  <c r="L132" i="15"/>
  <c r="M132" i="15"/>
  <c r="N132" i="15"/>
  <c r="O132" i="15"/>
  <c r="P132" i="15"/>
  <c r="Q132" i="15"/>
  <c r="R132" i="15"/>
  <c r="S132" i="15"/>
  <c r="T132" i="15"/>
  <c r="W132" i="15"/>
  <c r="X132" i="15"/>
  <c r="Z132" i="15"/>
  <c r="AA132" i="15"/>
  <c r="AB132" i="15"/>
  <c r="AC132" i="15"/>
  <c r="AD132" i="15"/>
  <c r="AE132" i="15"/>
  <c r="AF132" i="15"/>
  <c r="AG132" i="15"/>
  <c r="AH132" i="15"/>
  <c r="AI132" i="15"/>
  <c r="AJ132" i="15"/>
  <c r="AM132" i="15"/>
  <c r="AN132" i="15"/>
  <c r="AO132" i="15"/>
  <c r="AP132" i="15"/>
  <c r="AQ132" i="15"/>
  <c r="AR132" i="15"/>
  <c r="L133" i="15"/>
  <c r="M133" i="15"/>
  <c r="N133" i="15"/>
  <c r="O133" i="15"/>
  <c r="P133" i="15"/>
  <c r="Q133" i="15"/>
  <c r="R133" i="15"/>
  <c r="S133" i="15"/>
  <c r="W133" i="15"/>
  <c r="X133" i="15"/>
  <c r="Z133" i="15"/>
  <c r="AA133" i="15"/>
  <c r="AB133" i="15"/>
  <c r="AC133" i="15"/>
  <c r="AD133" i="15"/>
  <c r="AE133" i="15"/>
  <c r="AF133" i="15"/>
  <c r="AG133" i="15"/>
  <c r="AH133" i="15"/>
  <c r="AI133" i="15"/>
  <c r="AJ133" i="15"/>
  <c r="AM133" i="15"/>
  <c r="L134" i="15"/>
  <c r="M134" i="15"/>
  <c r="N134" i="15"/>
  <c r="O134" i="15"/>
  <c r="P134" i="15"/>
  <c r="Q134" i="15"/>
  <c r="R134" i="15"/>
  <c r="S134" i="15"/>
  <c r="W134" i="15"/>
  <c r="X134" i="15"/>
  <c r="Z134" i="15"/>
  <c r="AA134" i="15"/>
  <c r="AB134" i="15"/>
  <c r="AC134" i="15"/>
  <c r="AD134" i="15"/>
  <c r="AE134" i="15"/>
  <c r="AF134" i="15"/>
  <c r="AG134" i="15"/>
  <c r="AH134" i="15"/>
  <c r="AI134" i="15"/>
  <c r="AJ134" i="15"/>
  <c r="AM134" i="15"/>
  <c r="L150" i="15"/>
  <c r="M150" i="15"/>
  <c r="N150" i="15"/>
  <c r="O150" i="15"/>
  <c r="P150" i="15"/>
  <c r="Q150" i="15"/>
  <c r="R150" i="15"/>
  <c r="S150" i="15"/>
  <c r="W150" i="15"/>
  <c r="X150" i="15"/>
  <c r="Z150" i="15"/>
  <c r="AA150" i="15"/>
  <c r="AB150" i="15"/>
  <c r="AC150" i="15"/>
  <c r="AD150" i="15"/>
  <c r="AE150" i="15"/>
  <c r="AF150" i="15"/>
  <c r="AG150" i="15"/>
  <c r="AH150" i="15"/>
  <c r="AI150" i="15"/>
  <c r="AJ150" i="15"/>
  <c r="AM150" i="15"/>
  <c r="L151" i="15"/>
  <c r="M151" i="15"/>
  <c r="N151" i="15"/>
  <c r="O151" i="15"/>
  <c r="P151" i="15"/>
  <c r="Q151" i="15"/>
  <c r="R151" i="15"/>
  <c r="S151" i="15"/>
  <c r="W151" i="15"/>
  <c r="X151" i="15"/>
  <c r="Z151" i="15"/>
  <c r="AA151" i="15"/>
  <c r="AB151" i="15"/>
  <c r="AC151" i="15"/>
  <c r="AD151" i="15"/>
  <c r="AE151" i="15"/>
  <c r="AF151" i="15"/>
  <c r="AG151" i="15"/>
  <c r="AH151" i="15"/>
  <c r="AI151" i="15"/>
  <c r="AJ151" i="15"/>
  <c r="AM151" i="15"/>
  <c r="K98" i="15"/>
  <c r="L98" i="15"/>
  <c r="M98" i="15"/>
  <c r="N98" i="15"/>
  <c r="O98" i="15"/>
  <c r="P98" i="15"/>
  <c r="Q98" i="15"/>
  <c r="R98" i="15"/>
  <c r="S98" i="15"/>
  <c r="W98" i="15"/>
  <c r="X98" i="15"/>
  <c r="Z98" i="15"/>
  <c r="AA98" i="15"/>
  <c r="AB98" i="15"/>
  <c r="AC98" i="15"/>
  <c r="AD98" i="15"/>
  <c r="AE98" i="15"/>
  <c r="AF98" i="15"/>
  <c r="AG98" i="15"/>
  <c r="AH98" i="15"/>
  <c r="AI98" i="15"/>
  <c r="AJ98" i="15"/>
  <c r="AM98" i="15"/>
  <c r="J102" i="15"/>
  <c r="J103" i="15"/>
  <c r="J118" i="15"/>
  <c r="J119" i="15"/>
  <c r="J132" i="15"/>
  <c r="J133" i="15"/>
  <c r="J134" i="15"/>
  <c r="J150" i="15"/>
  <c r="J151" i="15"/>
  <c r="J98" i="15"/>
  <c r="J170" i="15"/>
  <c r="E170" i="15"/>
  <c r="H170" i="15"/>
  <c r="E102" i="15"/>
  <c r="H102" i="15"/>
  <c r="E103" i="15"/>
  <c r="H103" i="15"/>
  <c r="E118" i="15"/>
  <c r="H118" i="15"/>
  <c r="E119" i="15"/>
  <c r="H119" i="15"/>
  <c r="E133" i="15"/>
  <c r="H133" i="15"/>
  <c r="E134" i="15"/>
  <c r="H134" i="15"/>
  <c r="E150" i="15"/>
  <c r="H150" i="15"/>
  <c r="E151" i="15"/>
  <c r="H151" i="15"/>
  <c r="E98" i="15"/>
  <c r="H98" i="15"/>
  <c r="A151" i="15"/>
  <c r="B151" i="15"/>
  <c r="C151" i="15"/>
  <c r="A98" i="15"/>
  <c r="B98" i="15"/>
  <c r="C98" i="15"/>
  <c r="A102" i="15"/>
  <c r="B102" i="15"/>
  <c r="C102" i="15"/>
  <c r="A103" i="15"/>
  <c r="B103" i="15"/>
  <c r="C103" i="15"/>
  <c r="A118" i="15"/>
  <c r="B118" i="15"/>
  <c r="C118" i="15"/>
  <c r="A119" i="15"/>
  <c r="B119" i="15"/>
  <c r="C119" i="15"/>
  <c r="A133" i="15"/>
  <c r="B133" i="15"/>
  <c r="C133" i="15"/>
  <c r="A134" i="15"/>
  <c r="B134" i="15"/>
  <c r="C134" i="15"/>
  <c r="A150" i="15"/>
  <c r="B150" i="15"/>
  <c r="C150" i="15"/>
  <c r="B170" i="15"/>
  <c r="C170" i="15"/>
  <c r="A170" i="15"/>
  <c r="B18" i="7"/>
  <c r="C18" i="7"/>
  <c r="D18" i="7"/>
  <c r="E18" i="7"/>
  <c r="F18" i="7"/>
  <c r="G18" i="7"/>
  <c r="H18" i="7"/>
  <c r="J18" i="7"/>
  <c r="K18" i="7"/>
  <c r="L18" i="7"/>
  <c r="M18" i="7"/>
  <c r="N18" i="7"/>
  <c r="O18" i="7"/>
  <c r="P18" i="7"/>
  <c r="Q18" i="7"/>
  <c r="R18" i="7"/>
  <c r="S18" i="7"/>
  <c r="U18" i="7"/>
  <c r="V18" i="7"/>
  <c r="W18" i="7"/>
  <c r="X18" i="7"/>
  <c r="Z18" i="7"/>
  <c r="AA18" i="7"/>
  <c r="AB18" i="7"/>
  <c r="AC18" i="7"/>
  <c r="AD18" i="7"/>
  <c r="AE18" i="7"/>
  <c r="AF18" i="7"/>
  <c r="AG18" i="7"/>
  <c r="AH18" i="7"/>
  <c r="AI18" i="7"/>
  <c r="AJ18" i="7"/>
  <c r="AN18" i="7"/>
  <c r="AO18" i="7"/>
  <c r="AP18" i="7"/>
  <c r="AQ18" i="7"/>
  <c r="AR18" i="7"/>
  <c r="A18" i="7"/>
  <c r="S61" i="15"/>
  <c r="W61" i="15"/>
  <c r="X61" i="15"/>
  <c r="Z61" i="15"/>
  <c r="AA61" i="15"/>
  <c r="AB61" i="15"/>
  <c r="AC61" i="15"/>
  <c r="AD61" i="15"/>
  <c r="AE61" i="15"/>
  <c r="AF61" i="15"/>
  <c r="AG61" i="15"/>
  <c r="AH61" i="15"/>
  <c r="AI61" i="15"/>
  <c r="AJ61" i="15"/>
  <c r="AM61" i="15"/>
  <c r="S62" i="15"/>
  <c r="W62" i="15"/>
  <c r="X62" i="15"/>
  <c r="Z62" i="15"/>
  <c r="AA62" i="15"/>
  <c r="AB62" i="15"/>
  <c r="AC62" i="15"/>
  <c r="AD62" i="15"/>
  <c r="AE62" i="15"/>
  <c r="AF62" i="15"/>
  <c r="AG62" i="15"/>
  <c r="AH62" i="15"/>
  <c r="AI62" i="15"/>
  <c r="AJ62" i="15"/>
  <c r="AM62" i="15"/>
  <c r="K61" i="15"/>
  <c r="L61" i="15"/>
  <c r="M61" i="15"/>
  <c r="N61" i="15"/>
  <c r="O61" i="15"/>
  <c r="P61" i="15"/>
  <c r="Q61" i="15"/>
  <c r="R61" i="15"/>
  <c r="K62" i="15"/>
  <c r="L62" i="15"/>
  <c r="M62" i="15"/>
  <c r="N62" i="15"/>
  <c r="O62" i="15"/>
  <c r="P62" i="15"/>
  <c r="Q62" i="15"/>
  <c r="R62" i="15"/>
  <c r="J61" i="15"/>
  <c r="J62" i="15"/>
  <c r="B61" i="15"/>
  <c r="C61" i="15"/>
  <c r="E61" i="15"/>
  <c r="H61" i="15"/>
  <c r="B62" i="15"/>
  <c r="C62" i="15"/>
  <c r="E62" i="15"/>
  <c r="H62" i="15"/>
  <c r="A62" i="15"/>
  <c r="A61" i="15"/>
  <c r="J116" i="15" l="1"/>
  <c r="J83" i="15"/>
  <c r="L116" i="15"/>
  <c r="W116" i="15"/>
  <c r="Y102" i="15"/>
  <c r="AI96" i="15"/>
  <c r="AH96" i="15"/>
  <c r="AJ96" i="15"/>
  <c r="N96" i="15"/>
  <c r="M96" i="15"/>
  <c r="L96" i="15"/>
  <c r="AG96" i="15"/>
  <c r="AF96" i="15"/>
  <c r="AA96" i="15"/>
  <c r="AE96" i="15"/>
  <c r="J96" i="15"/>
  <c r="AD96" i="15"/>
  <c r="AC96" i="15"/>
  <c r="AB96" i="15"/>
  <c r="S96" i="15"/>
  <c r="W96" i="15"/>
  <c r="Z96" i="15"/>
  <c r="X96" i="15"/>
  <c r="R96" i="15"/>
  <c r="Q96" i="15"/>
  <c r="P96" i="15"/>
  <c r="O96" i="15"/>
  <c r="S432" i="1"/>
  <c r="Y133" i="15"/>
  <c r="J164" i="15"/>
  <c r="K96" i="15"/>
  <c r="J146" i="15"/>
  <c r="N146" i="15"/>
  <c r="T438" i="1" a="1"/>
  <c r="T438" i="1" s="1"/>
  <c r="M164" i="15"/>
  <c r="W183" i="15"/>
  <c r="R164" i="15"/>
  <c r="M116" i="15"/>
  <c r="AH116" i="15"/>
  <c r="AI116" i="15"/>
  <c r="Y118" i="15"/>
  <c r="J131" i="15"/>
  <c r="P164" i="15"/>
  <c r="AG116" i="15"/>
  <c r="AF116" i="15"/>
  <c r="AB100" i="15"/>
  <c r="X100" i="15"/>
  <c r="W100" i="15"/>
  <c r="R100" i="15"/>
  <c r="N100" i="15"/>
  <c r="M100" i="15"/>
  <c r="AA100" i="15"/>
  <c r="S100" i="15"/>
  <c r="L100" i="15"/>
  <c r="Z100" i="15"/>
  <c r="X116" i="15"/>
  <c r="O116" i="15"/>
  <c r="S164" i="15"/>
  <c r="AJ116" i="15"/>
  <c r="N116" i="15"/>
  <c r="AA164" i="15"/>
  <c r="AE116" i="15"/>
  <c r="Z164" i="15"/>
  <c r="X164" i="15"/>
  <c r="AC116" i="15"/>
  <c r="Y150" i="15"/>
  <c r="W164" i="15"/>
  <c r="AB116" i="15"/>
  <c r="Q164" i="15"/>
  <c r="AA116" i="15"/>
  <c r="Y151" i="15"/>
  <c r="M146" i="15"/>
  <c r="AD116" i="15"/>
  <c r="Z116" i="15"/>
  <c r="L432" i="1"/>
  <c r="T431" i="1" a="1"/>
  <c r="T431" i="1" s="1"/>
  <c r="O164" i="15"/>
  <c r="S116" i="15"/>
  <c r="N164" i="15"/>
  <c r="R116" i="15"/>
  <c r="Q116" i="15"/>
  <c r="L164" i="15"/>
  <c r="P116" i="15"/>
  <c r="AS120" i="15"/>
  <c r="AN120" i="15"/>
  <c r="AB164" i="15"/>
  <c r="T196" i="1"/>
  <c r="Y103" i="15"/>
  <c r="Y119" i="15"/>
  <c r="Y134" i="15"/>
  <c r="M64" i="15"/>
  <c r="S64" i="15"/>
  <c r="W64" i="15"/>
  <c r="AH64" i="15"/>
  <c r="AG64" i="15"/>
  <c r="AF64" i="15"/>
  <c r="Q64" i="15"/>
  <c r="AE64" i="15"/>
  <c r="AD64" i="15"/>
  <c r="S46" i="15"/>
  <c r="P46" i="15"/>
  <c r="O46" i="15"/>
  <c r="AJ46" i="15"/>
  <c r="N46" i="15"/>
  <c r="AC64" i="15"/>
  <c r="AI46" i="15"/>
  <c r="M46" i="15"/>
  <c r="AB64" i="15"/>
  <c r="AH46" i="15"/>
  <c r="L46" i="15"/>
  <c r="AG46" i="15"/>
  <c r="K46" i="15"/>
  <c r="AF46" i="15"/>
  <c r="AE46" i="15"/>
  <c r="AC46" i="15"/>
  <c r="AB46" i="15"/>
  <c r="AA46" i="15"/>
  <c r="Z46" i="15"/>
  <c r="R46" i="15"/>
  <c r="Q46" i="15"/>
  <c r="J46" i="15"/>
  <c r="AD46" i="15"/>
  <c r="X46" i="15"/>
  <c r="P64" i="15"/>
  <c r="W46" i="15"/>
  <c r="AA64" i="15"/>
  <c r="Z64" i="15"/>
  <c r="X64" i="15"/>
  <c r="J64" i="15"/>
  <c r="R64" i="15"/>
  <c r="O64" i="15"/>
  <c r="N64" i="15"/>
  <c r="AJ64" i="15"/>
  <c r="L64" i="15"/>
  <c r="K64" i="15"/>
  <c r="AI64" i="15"/>
  <c r="J100" i="15"/>
  <c r="P183" i="15"/>
  <c r="AB183" i="15"/>
  <c r="Z183" i="15"/>
  <c r="J183" i="15"/>
  <c r="AA183" i="15"/>
  <c r="X183" i="15"/>
  <c r="S183" i="15"/>
  <c r="R183" i="15"/>
  <c r="Q183" i="15"/>
  <c r="AI183" i="15"/>
  <c r="AG183" i="15"/>
  <c r="AF183" i="15"/>
  <c r="L183" i="15"/>
  <c r="AE183" i="15"/>
  <c r="AJ183" i="15"/>
  <c r="AD183" i="15"/>
  <c r="O183" i="15"/>
  <c r="N183" i="15"/>
  <c r="M183" i="15"/>
  <c r="AH183" i="15"/>
  <c r="AC183" i="15"/>
  <c r="AS213" i="1"/>
  <c r="AD146" i="15"/>
  <c r="AD131" i="15"/>
  <c r="AE164" i="15"/>
  <c r="AS175" i="15"/>
  <c r="AC164" i="15"/>
  <c r="AS178" i="15"/>
  <c r="AG164" i="15"/>
  <c r="AF164" i="15"/>
  <c r="AC146" i="15"/>
  <c r="AB146" i="15"/>
  <c r="AE146" i="15"/>
  <c r="AE131" i="15"/>
  <c r="AD164" i="15"/>
  <c r="AJ164" i="15"/>
  <c r="AI164" i="15"/>
  <c r="AH164" i="15"/>
  <c r="S146" i="15"/>
  <c r="P146" i="15"/>
  <c r="R146" i="15"/>
  <c r="Q146" i="15"/>
  <c r="AA146" i="15"/>
  <c r="X146" i="15"/>
  <c r="W146" i="15"/>
  <c r="O146" i="15"/>
  <c r="AI146" i="15"/>
  <c r="AH146" i="15"/>
  <c r="L146" i="15"/>
  <c r="AG146" i="15"/>
  <c r="AJ146" i="15"/>
  <c r="AF146" i="15"/>
  <c r="AS103" i="15"/>
  <c r="AC131" i="15"/>
  <c r="AB131" i="15"/>
  <c r="AS44" i="15"/>
  <c r="R131" i="15"/>
  <c r="Q131" i="15"/>
  <c r="P131" i="15"/>
  <c r="AH131" i="15"/>
  <c r="L131" i="15"/>
  <c r="X131" i="15"/>
  <c r="W131" i="15"/>
  <c r="Z131" i="15"/>
  <c r="O131" i="15"/>
  <c r="AJ131" i="15"/>
  <c r="N131" i="15"/>
  <c r="M131" i="15"/>
  <c r="S131" i="15"/>
  <c r="AG131" i="15"/>
  <c r="AA131" i="15"/>
  <c r="AI131" i="15"/>
  <c r="AF131" i="15"/>
  <c r="AS102" i="15"/>
  <c r="AS62" i="15"/>
  <c r="AS151" i="15"/>
  <c r="AS177" i="15"/>
  <c r="AS176" i="15"/>
  <c r="AS52" i="15"/>
  <c r="AS63" i="15"/>
  <c r="T135" i="15"/>
  <c r="T478" i="1" s="1"/>
  <c r="T120" i="15"/>
  <c r="T464" i="1" s="1"/>
  <c r="T104" i="15"/>
  <c r="AS66" i="15"/>
  <c r="AS69" i="15" s="1"/>
  <c r="AS45" i="15"/>
  <c r="AS50" i="15"/>
  <c r="AP71" i="15"/>
  <c r="AS71" i="15"/>
  <c r="AS99" i="15"/>
  <c r="AS179" i="15"/>
  <c r="AS150" i="15"/>
  <c r="AS134" i="15"/>
  <c r="AS133" i="15"/>
  <c r="AS43" i="15"/>
  <c r="AS48" i="15"/>
  <c r="AS42" i="15"/>
  <c r="AS98" i="15"/>
  <c r="AS152" i="15"/>
  <c r="AS61" i="15"/>
  <c r="AS119" i="15"/>
  <c r="AS118" i="15"/>
  <c r="AS34" i="15"/>
  <c r="AS35" i="15" s="1"/>
  <c r="R432" i="1"/>
  <c r="AP213" i="1"/>
  <c r="AO135" i="15"/>
  <c r="J478" i="1"/>
  <c r="AR120" i="15"/>
  <c r="J464" i="1"/>
  <c r="J38" i="7"/>
  <c r="AR38" i="7"/>
  <c r="AQ609" i="1"/>
  <c r="AQ38" i="7" s="1"/>
  <c r="AO609" i="1"/>
  <c r="AO38" i="7" s="1"/>
  <c r="AP609" i="1"/>
  <c r="AP38" i="7" s="1"/>
  <c r="J314" i="1"/>
  <c r="J82" i="7" s="1"/>
  <c r="AN609" i="1"/>
  <c r="AN38" i="7" s="1"/>
  <c r="AS609" i="1"/>
  <c r="AS38" i="7" s="1"/>
  <c r="J518" i="1"/>
  <c r="AS518" i="1" s="1"/>
  <c r="AQ66" i="15"/>
  <c r="AQ69" i="15" s="1"/>
  <c r="AP63" i="15"/>
  <c r="AN48" i="15"/>
  <c r="AO48" i="15"/>
  <c r="AP50" i="15"/>
  <c r="AQ63" i="15"/>
  <c r="AO66" i="15"/>
  <c r="AO69" i="15" s="1"/>
  <c r="T523" i="1"/>
  <c r="AQ179" i="15"/>
  <c r="AN135" i="15"/>
  <c r="AP135" i="15"/>
  <c r="AP45" i="15"/>
  <c r="AQ135" i="15"/>
  <c r="AQ45" i="15"/>
  <c r="AR135" i="15"/>
  <c r="AR45" i="15"/>
  <c r="AR63" i="15"/>
  <c r="J438" i="1"/>
  <c r="AS438" i="1" s="1"/>
  <c r="AN66" i="15"/>
  <c r="AR179" i="15"/>
  <c r="AP66" i="15"/>
  <c r="AP69" i="15" s="1"/>
  <c r="T511" i="1"/>
  <c r="AR66" i="15"/>
  <c r="AR69" i="15" s="1"/>
  <c r="AP179" i="15"/>
  <c r="AP48" i="15"/>
  <c r="AQ48" i="15"/>
  <c r="AR48" i="15"/>
  <c r="AO34" i="15"/>
  <c r="AO35" i="15" s="1"/>
  <c r="AN50" i="15"/>
  <c r="AN71" i="15"/>
  <c r="J431" i="1"/>
  <c r="J432" i="1" s="1"/>
  <c r="AP34" i="15"/>
  <c r="AP35" i="15" s="1"/>
  <c r="AO50" i="15"/>
  <c r="AO71" i="15"/>
  <c r="AR71" i="15"/>
  <c r="AN52" i="15"/>
  <c r="AQ34" i="15"/>
  <c r="AQ35" i="15" s="1"/>
  <c r="AQ50" i="15"/>
  <c r="AN34" i="15"/>
  <c r="AN35" i="15" s="1"/>
  <c r="AO52" i="15"/>
  <c r="AP52" i="15"/>
  <c r="AQ71" i="15"/>
  <c r="AR50" i="15"/>
  <c r="AQ52" i="15"/>
  <c r="AR52" i="15"/>
  <c r="T518" i="1"/>
  <c r="AN45" i="15"/>
  <c r="AN63" i="15"/>
  <c r="AN179" i="15"/>
  <c r="AR34" i="15"/>
  <c r="AR35" i="15" s="1"/>
  <c r="J523" i="1"/>
  <c r="AS523" i="1" s="1"/>
  <c r="AO45" i="15"/>
  <c r="AO63" i="15"/>
  <c r="AO179" i="15"/>
  <c r="AO152" i="15"/>
  <c r="AP152" i="15"/>
  <c r="J148" i="15"/>
  <c r="AQ152" i="15"/>
  <c r="J492" i="1"/>
  <c r="AS492" i="1" s="1"/>
  <c r="J511" i="1"/>
  <c r="AS511" i="1" s="1"/>
  <c r="J506" i="1"/>
  <c r="AS506" i="1" s="1"/>
  <c r="AN99" i="15"/>
  <c r="AO99" i="15"/>
  <c r="AP99" i="15"/>
  <c r="AQ99" i="15"/>
  <c r="AQ506" i="1" s="1"/>
  <c r="AR152" i="15"/>
  <c r="AO213" i="1"/>
  <c r="AQ213" i="1"/>
  <c r="AR213" i="1"/>
  <c r="AR99" i="15"/>
  <c r="AR506" i="1" s="1"/>
  <c r="AO120" i="15"/>
  <c r="AN213" i="1"/>
  <c r="AN225" i="1" s="1"/>
  <c r="AP120" i="15"/>
  <c r="AQ120" i="15"/>
  <c r="AN152" i="15"/>
  <c r="AR92" i="15"/>
  <c r="AQ92" i="15"/>
  <c r="T92" i="15"/>
  <c r="AN92" i="15" s="1"/>
  <c r="AR91" i="15"/>
  <c r="AQ91" i="15"/>
  <c r="T91" i="15"/>
  <c r="AN91" i="15" s="1"/>
  <c r="AR90" i="15"/>
  <c r="AQ90" i="15"/>
  <c r="T90" i="15"/>
  <c r="AR89" i="15"/>
  <c r="AQ89" i="15"/>
  <c r="T89" i="15"/>
  <c r="AN89" i="15" s="1"/>
  <c r="AR88" i="15"/>
  <c r="AQ88" i="15"/>
  <c r="T88" i="15"/>
  <c r="AN88" i="15" s="1"/>
  <c r="AR87" i="15"/>
  <c r="AQ87" i="15"/>
  <c r="T87" i="15"/>
  <c r="AN87" i="15" s="1"/>
  <c r="AR60" i="15"/>
  <c r="AQ60" i="15"/>
  <c r="T60" i="15"/>
  <c r="AN60" i="15" s="1"/>
  <c r="AR59" i="15"/>
  <c r="AQ59" i="15"/>
  <c r="T59" i="15"/>
  <c r="AR58" i="15"/>
  <c r="AQ58" i="15"/>
  <c r="T58" i="15"/>
  <c r="AN58" i="15" s="1"/>
  <c r="AR57" i="15"/>
  <c r="AQ57" i="15"/>
  <c r="T57" i="15"/>
  <c r="AN57" i="15" s="1"/>
  <c r="AR56" i="15"/>
  <c r="AQ56" i="15"/>
  <c r="T56" i="15"/>
  <c r="AN56" i="15" s="1"/>
  <c r="AJ399" i="1"/>
  <c r="AP397" i="1"/>
  <c r="AQ397" i="1"/>
  <c r="AR397" i="1"/>
  <c r="AP398" i="1"/>
  <c r="AQ398" i="1"/>
  <c r="AR398" i="1"/>
  <c r="AO397" i="1"/>
  <c r="AO398" i="1"/>
  <c r="AN397" i="1"/>
  <c r="AN398" i="1"/>
  <c r="J336" i="1"/>
  <c r="AJ29" i="7"/>
  <c r="AI29" i="7"/>
  <c r="AH29" i="7"/>
  <c r="AG29" i="7"/>
  <c r="AF29" i="7"/>
  <c r="AE29" i="7"/>
  <c r="AD29" i="7"/>
  <c r="AC29" i="7"/>
  <c r="AB29" i="7"/>
  <c r="AA29" i="7"/>
  <c r="Z29" i="7"/>
  <c r="X29" i="7"/>
  <c r="W29" i="7"/>
  <c r="V29" i="7"/>
  <c r="U29" i="7"/>
  <c r="S29" i="7"/>
  <c r="R29" i="7"/>
  <c r="Q29" i="7"/>
  <c r="P29" i="7"/>
  <c r="O29" i="7"/>
  <c r="N29" i="7"/>
  <c r="M29" i="7"/>
  <c r="L29" i="7"/>
  <c r="K29" i="7"/>
  <c r="J29" i="7"/>
  <c r="H29" i="7"/>
  <c r="G29" i="7"/>
  <c r="F29" i="7"/>
  <c r="E29" i="7"/>
  <c r="D29" i="7"/>
  <c r="C29" i="7"/>
  <c r="B29" i="7"/>
  <c r="A29" i="7"/>
  <c r="AJ23" i="7"/>
  <c r="AI23" i="7"/>
  <c r="AH23" i="7"/>
  <c r="AG23" i="7"/>
  <c r="AF23" i="7"/>
  <c r="AE23" i="7"/>
  <c r="AD23" i="7"/>
  <c r="AC23" i="7"/>
  <c r="AB23" i="7"/>
  <c r="AA23" i="7"/>
  <c r="Z23" i="7"/>
  <c r="X23" i="7"/>
  <c r="W23" i="7"/>
  <c r="V23" i="7"/>
  <c r="U23" i="7"/>
  <c r="S23" i="7"/>
  <c r="R23" i="7"/>
  <c r="Q23" i="7"/>
  <c r="P23" i="7"/>
  <c r="O23" i="7"/>
  <c r="N23" i="7"/>
  <c r="M23" i="7"/>
  <c r="L23" i="7"/>
  <c r="H23" i="7"/>
  <c r="G23" i="7"/>
  <c r="F23" i="7"/>
  <c r="E23" i="7"/>
  <c r="D23" i="7"/>
  <c r="C23" i="7"/>
  <c r="B23" i="7"/>
  <c r="A23" i="7"/>
  <c r="AJ201" i="1"/>
  <c r="AI201" i="1"/>
  <c r="AH201" i="1"/>
  <c r="AG201" i="1"/>
  <c r="AF201" i="1"/>
  <c r="AE201" i="1"/>
  <c r="AD201" i="1"/>
  <c r="AC201" i="1"/>
  <c r="AB201" i="1"/>
  <c r="AA201" i="1"/>
  <c r="Z201" i="1"/>
  <c r="X201" i="1"/>
  <c r="W201" i="1"/>
  <c r="V201" i="1"/>
  <c r="U201" i="1"/>
  <c r="S201" i="1"/>
  <c r="R201" i="1"/>
  <c r="Q201" i="1"/>
  <c r="P201" i="1"/>
  <c r="O201" i="1"/>
  <c r="N201" i="1"/>
  <c r="M201" i="1"/>
  <c r="L201" i="1"/>
  <c r="J201" i="1"/>
  <c r="J144" i="1"/>
  <c r="AJ144" i="1"/>
  <c r="AI144" i="1"/>
  <c r="AH144" i="1"/>
  <c r="AG144" i="1"/>
  <c r="AF144" i="1"/>
  <c r="AE144" i="1"/>
  <c r="AD144" i="1"/>
  <c r="AC144" i="1"/>
  <c r="AB144" i="1"/>
  <c r="AA144" i="1"/>
  <c r="Z144" i="1"/>
  <c r="W144" i="1"/>
  <c r="V144" i="1"/>
  <c r="U144" i="1"/>
  <c r="S144" i="1"/>
  <c r="R144" i="1"/>
  <c r="Q144" i="1"/>
  <c r="P144" i="1"/>
  <c r="O144" i="1"/>
  <c r="N144" i="1"/>
  <c r="M144" i="1"/>
  <c r="L144" i="1"/>
  <c r="Y67" i="13"/>
  <c r="M74" i="13"/>
  <c r="M73" i="13"/>
  <c r="M72" i="13"/>
  <c r="M69" i="13"/>
  <c r="M68" i="13"/>
  <c r="M67" i="13"/>
  <c r="N74" i="13"/>
  <c r="N73" i="13"/>
  <c r="N72" i="13"/>
  <c r="N69" i="13"/>
  <c r="N68" i="13"/>
  <c r="N67" i="13"/>
  <c r="O74" i="13"/>
  <c r="O73" i="13"/>
  <c r="O72" i="13"/>
  <c r="O69" i="13"/>
  <c r="O68" i="13"/>
  <c r="O67" i="13"/>
  <c r="AA67" i="13"/>
  <c r="Z67" i="13"/>
  <c r="S67" i="13"/>
  <c r="R67" i="13"/>
  <c r="AO43" i="13"/>
  <c r="AN43" i="13"/>
  <c r="AM43" i="13"/>
  <c r="AL43" i="13"/>
  <c r="AK43" i="13"/>
  <c r="T25" i="13" a="1"/>
  <c r="T25" i="13" s="1"/>
  <c r="AO16" i="13"/>
  <c r="AN16" i="13"/>
  <c r="AM16" i="13"/>
  <c r="AL16" i="13"/>
  <c r="AK16" i="13"/>
  <c r="Q16" i="13"/>
  <c r="T16" i="13" s="1" a="1"/>
  <c r="T16" i="13" s="1"/>
  <c r="AR7" i="13"/>
  <c r="AQ7" i="13"/>
  <c r="AO7" i="13"/>
  <c r="AN7" i="13"/>
  <c r="AM7" i="13"/>
  <c r="AL7" i="13"/>
  <c r="AK7" i="13"/>
  <c r="T7" i="13" a="1"/>
  <c r="T7" i="13" s="1"/>
  <c r="AA74" i="13"/>
  <c r="Z74" i="13"/>
  <c r="Y74" i="13"/>
  <c r="AA73" i="13"/>
  <c r="Z73" i="13"/>
  <c r="Y73" i="13"/>
  <c r="AA72" i="13"/>
  <c r="Z72" i="13"/>
  <c r="Y72" i="13"/>
  <c r="AA69" i="13"/>
  <c r="Z69" i="13"/>
  <c r="Y69" i="13"/>
  <c r="AA68" i="13"/>
  <c r="Z68" i="13"/>
  <c r="W74" i="13"/>
  <c r="W73" i="13"/>
  <c r="W72" i="13"/>
  <c r="W69" i="13"/>
  <c r="W68" i="13"/>
  <c r="S74" i="13"/>
  <c r="S73" i="13"/>
  <c r="S72" i="13"/>
  <c r="S69" i="13"/>
  <c r="S68" i="13"/>
  <c r="R74" i="13"/>
  <c r="R73" i="13"/>
  <c r="R72" i="13"/>
  <c r="R69" i="13"/>
  <c r="R68" i="13"/>
  <c r="Q69" i="13"/>
  <c r="L74" i="13"/>
  <c r="L73" i="13"/>
  <c r="L72" i="13"/>
  <c r="L69" i="13"/>
  <c r="L68" i="13"/>
  <c r="T44" i="13" a="1"/>
  <c r="T44" i="13" s="1"/>
  <c r="T35" i="13" a="1"/>
  <c r="T35" i="13" s="1"/>
  <c r="T26" i="13" a="1"/>
  <c r="T26" i="13" s="1"/>
  <c r="AO17" i="13"/>
  <c r="AN17" i="13"/>
  <c r="AM17" i="13"/>
  <c r="AL17" i="13"/>
  <c r="AK17" i="13"/>
  <c r="Q17" i="13"/>
  <c r="T17" i="13" s="1" a="1"/>
  <c r="T17" i="13" s="1"/>
  <c r="AR8" i="13"/>
  <c r="AQ8" i="13"/>
  <c r="AO8" i="13"/>
  <c r="AN8" i="13"/>
  <c r="AM8" i="13"/>
  <c r="AL8" i="13"/>
  <c r="AK8" i="13"/>
  <c r="T8" i="13" a="1"/>
  <c r="T8" i="13" s="1"/>
  <c r="T54" i="13" a="1"/>
  <c r="T54" i="13" s="1"/>
  <c r="AO45" i="13"/>
  <c r="AN45" i="13"/>
  <c r="AM45" i="13"/>
  <c r="AL45" i="13"/>
  <c r="AK45" i="13"/>
  <c r="T45" i="13" a="1"/>
  <c r="T45" i="13" s="1"/>
  <c r="AO36" i="13"/>
  <c r="AN36" i="13"/>
  <c r="AM36" i="13"/>
  <c r="AL36" i="13"/>
  <c r="AK36" i="13"/>
  <c r="T36" i="13" a="1"/>
  <c r="T36" i="13" s="1"/>
  <c r="T27" i="13" a="1"/>
  <c r="T27" i="13" s="1"/>
  <c r="AO18" i="13"/>
  <c r="AN18" i="13"/>
  <c r="AM18" i="13"/>
  <c r="AL18" i="13"/>
  <c r="AK18" i="13"/>
  <c r="T18" i="13" a="1"/>
  <c r="T18" i="13" s="1"/>
  <c r="AR9" i="13"/>
  <c r="AQ9" i="13"/>
  <c r="AO9" i="13"/>
  <c r="AN9" i="13"/>
  <c r="AM9" i="13"/>
  <c r="AL9" i="13"/>
  <c r="AK9" i="13"/>
  <c r="T9" i="13" a="1"/>
  <c r="T9" i="13" s="1"/>
  <c r="T55" i="13" a="1"/>
  <c r="T55" i="13" s="1"/>
  <c r="T46" i="13" a="1"/>
  <c r="T46" i="13" s="1"/>
  <c r="T37" i="13" a="1"/>
  <c r="T37" i="13" s="1"/>
  <c r="T28" i="13" a="1"/>
  <c r="T28" i="13" s="1"/>
  <c r="AO19" i="13"/>
  <c r="AN19" i="13"/>
  <c r="AM19" i="13"/>
  <c r="AL19" i="13"/>
  <c r="AK19" i="13"/>
  <c r="T19" i="13" a="1"/>
  <c r="T19" i="13" s="1"/>
  <c r="AR10" i="13"/>
  <c r="AQ10" i="13"/>
  <c r="AO10" i="13"/>
  <c r="AN10" i="13"/>
  <c r="AM10" i="13"/>
  <c r="AL10" i="13"/>
  <c r="AK10" i="13"/>
  <c r="T10" i="13" a="1"/>
  <c r="T10" i="13" s="1"/>
  <c r="T56" i="13" a="1"/>
  <c r="T56" i="13" s="1"/>
  <c r="Q56" i="13"/>
  <c r="T47" i="13" a="1"/>
  <c r="T47" i="13" s="1"/>
  <c r="T38" i="13" a="1"/>
  <c r="T38" i="13" s="1"/>
  <c r="T29" i="13" a="1"/>
  <c r="T29" i="13" s="1"/>
  <c r="AO20" i="13"/>
  <c r="AN20" i="13"/>
  <c r="AM20" i="13"/>
  <c r="AL20" i="13"/>
  <c r="AK20" i="13"/>
  <c r="T20" i="13" a="1"/>
  <c r="T20" i="13" s="1"/>
  <c r="AR11" i="13"/>
  <c r="AQ11" i="13"/>
  <c r="Q11" i="13"/>
  <c r="J11" i="13"/>
  <c r="J71" i="13" s="1"/>
  <c r="T57" i="13" a="1"/>
  <c r="T57" i="13" s="1"/>
  <c r="T48" i="13" a="1"/>
  <c r="T48" i="13" s="1"/>
  <c r="T39" i="13" a="1"/>
  <c r="T39" i="13" s="1"/>
  <c r="T30" i="13" a="1"/>
  <c r="T30" i="13" s="1"/>
  <c r="AO21" i="13"/>
  <c r="AN21" i="13"/>
  <c r="AM21" i="13"/>
  <c r="AL21" i="13"/>
  <c r="AK21" i="13"/>
  <c r="T21" i="13" a="1"/>
  <c r="T21" i="13" s="1"/>
  <c r="AR12" i="13"/>
  <c r="AQ12" i="13"/>
  <c r="Q12" i="13"/>
  <c r="T12" i="13" s="1" a="1"/>
  <c r="T12" i="13" s="1"/>
  <c r="J12" i="13"/>
  <c r="T49" i="13" a="1"/>
  <c r="T49" i="13" s="1"/>
  <c r="T40" i="13" a="1"/>
  <c r="T40" i="13" s="1"/>
  <c r="T31" i="13" a="1"/>
  <c r="T31" i="13" s="1"/>
  <c r="AO22" i="13"/>
  <c r="AN22" i="13"/>
  <c r="AM22" i="13"/>
  <c r="AL22" i="13"/>
  <c r="AK22" i="13"/>
  <c r="T22" i="13" a="1"/>
  <c r="T22" i="13" s="1"/>
  <c r="AR13" i="13"/>
  <c r="AQ13" i="13"/>
  <c r="Q13" i="13"/>
  <c r="T13" i="13" s="1" a="1"/>
  <c r="T13" i="13" s="1"/>
  <c r="J13" i="13"/>
  <c r="T50" i="13" a="1"/>
  <c r="T50" i="13" s="1"/>
  <c r="T41" i="13" a="1"/>
  <c r="T41" i="13" s="1"/>
  <c r="T32" i="13" a="1"/>
  <c r="T32" i="13" s="1"/>
  <c r="AO23" i="13"/>
  <c r="AN23" i="13"/>
  <c r="AM23" i="13"/>
  <c r="AL23" i="13"/>
  <c r="AK23" i="13"/>
  <c r="T23" i="13" a="1"/>
  <c r="T23" i="13" s="1"/>
  <c r="AR14" i="13"/>
  <c r="AQ14" i="13"/>
  <c r="Q14" i="13"/>
  <c r="Q74" i="13" s="1"/>
  <c r="J14" i="13"/>
  <c r="O37" i="7"/>
  <c r="O81" i="7"/>
  <c r="Z7" i="7"/>
  <c r="Z8" i="7"/>
  <c r="Z9" i="7"/>
  <c r="M10" i="1"/>
  <c r="N10" i="1"/>
  <c r="O10" i="1"/>
  <c r="Q10" i="1"/>
  <c r="R10" i="1"/>
  <c r="S10" i="1"/>
  <c r="W10" i="1"/>
  <c r="X10" i="1"/>
  <c r="Z10" i="1"/>
  <c r="AA10" i="1"/>
  <c r="AB10" i="1"/>
  <c r="AC10" i="1"/>
  <c r="AD10" i="1"/>
  <c r="AE10" i="1"/>
  <c r="AF10" i="1"/>
  <c r="AG10" i="1"/>
  <c r="AH10" i="1"/>
  <c r="AI10" i="1"/>
  <c r="AJ10" i="1"/>
  <c r="L10" i="1"/>
  <c r="M22" i="1"/>
  <c r="N22" i="1"/>
  <c r="O22" i="1"/>
  <c r="Q22" i="1"/>
  <c r="R22" i="1"/>
  <c r="S22" i="1"/>
  <c r="W22" i="1"/>
  <c r="X22" i="1"/>
  <c r="Z22" i="1"/>
  <c r="AA22" i="1"/>
  <c r="AB22" i="1"/>
  <c r="AC22" i="1"/>
  <c r="AD22" i="1"/>
  <c r="AE22" i="1"/>
  <c r="AF22" i="1"/>
  <c r="AG22" i="1"/>
  <c r="AH22" i="1"/>
  <c r="AI22" i="1"/>
  <c r="AJ22" i="1"/>
  <c r="L22" i="1"/>
  <c r="M31" i="1"/>
  <c r="N31" i="1"/>
  <c r="O31" i="1"/>
  <c r="Q31" i="1"/>
  <c r="R31" i="1"/>
  <c r="S31" i="1"/>
  <c r="W31" i="1"/>
  <c r="X31" i="1"/>
  <c r="Z31" i="1"/>
  <c r="AA31" i="1"/>
  <c r="AB31" i="1"/>
  <c r="AC31" i="1"/>
  <c r="AD31" i="1"/>
  <c r="AE31" i="1"/>
  <c r="AF31" i="1"/>
  <c r="AG31" i="1"/>
  <c r="AH31" i="1"/>
  <c r="AI31" i="1"/>
  <c r="AJ31" i="1"/>
  <c r="L31" i="1"/>
  <c r="L548" i="1"/>
  <c r="K8" i="11"/>
  <c r="L8" i="11"/>
  <c r="M8" i="11"/>
  <c r="N8" i="11"/>
  <c r="O8" i="11"/>
  <c r="P8" i="11"/>
  <c r="Q8" i="11"/>
  <c r="R8" i="11"/>
  <c r="S8" i="11"/>
  <c r="U8" i="11"/>
  <c r="V8" i="11"/>
  <c r="W8" i="11"/>
  <c r="X8" i="11"/>
  <c r="Y8" i="11"/>
  <c r="Z8" i="11"/>
  <c r="AA8" i="11"/>
  <c r="AB8" i="11"/>
  <c r="AC8" i="11"/>
  <c r="AD8" i="11"/>
  <c r="AE8" i="11"/>
  <c r="AF8" i="11"/>
  <c r="AG8" i="11"/>
  <c r="AH8" i="11"/>
  <c r="AI8" i="11"/>
  <c r="H8" i="11"/>
  <c r="AA23" i="11"/>
  <c r="AB23" i="11"/>
  <c r="AC23" i="11"/>
  <c r="AD23" i="11"/>
  <c r="AE23" i="11"/>
  <c r="AF23" i="11"/>
  <c r="AA18" i="11"/>
  <c r="AB18" i="11"/>
  <c r="AC18" i="11"/>
  <c r="AD18" i="11"/>
  <c r="AE18" i="11"/>
  <c r="AF18" i="11"/>
  <c r="AA13" i="11"/>
  <c r="AB13" i="11"/>
  <c r="AC13" i="11"/>
  <c r="AD13" i="11"/>
  <c r="AE13" i="11"/>
  <c r="AF13" i="11"/>
  <c r="AB21" i="7"/>
  <c r="AC21" i="7"/>
  <c r="AD21" i="7"/>
  <c r="AC81" i="7"/>
  <c r="AD81" i="7"/>
  <c r="AE81" i="7"/>
  <c r="AF81" i="7"/>
  <c r="AG81" i="7"/>
  <c r="AC37" i="7"/>
  <c r="AD37" i="7"/>
  <c r="AE37" i="7"/>
  <c r="AF37" i="7"/>
  <c r="AG37" i="7"/>
  <c r="AC12" i="7"/>
  <c r="AD12" i="7"/>
  <c r="AE12" i="7"/>
  <c r="AF12" i="7"/>
  <c r="AG12" i="7"/>
  <c r="T18" i="7"/>
  <c r="T37" i="7"/>
  <c r="AN587" i="1"/>
  <c r="AN42" i="7" s="1"/>
  <c r="AO587" i="1"/>
  <c r="AO42" i="7" s="1"/>
  <c r="AP587" i="1"/>
  <c r="AP42" i="7" s="1"/>
  <c r="AQ587" i="1"/>
  <c r="AQ42" i="7" s="1"/>
  <c r="AR587" i="1"/>
  <c r="AR42" i="7" s="1"/>
  <c r="AN573" i="1"/>
  <c r="AN61" i="7" s="1"/>
  <c r="T43" i="7"/>
  <c r="T45" i="7"/>
  <c r="T61" i="7"/>
  <c r="T60" i="7"/>
  <c r="T18" i="11"/>
  <c r="T8" i="11"/>
  <c r="T13" i="11"/>
  <c r="AR544" i="1"/>
  <c r="AR12" i="7" s="1"/>
  <c r="AQ544" i="1"/>
  <c r="AQ12" i="7" s="1"/>
  <c r="AP544" i="1"/>
  <c r="AP12" i="7" s="1"/>
  <c r="AO544" i="1"/>
  <c r="AO12" i="7" s="1"/>
  <c r="T12" i="7"/>
  <c r="AN544" i="1"/>
  <c r="AN12" i="7" s="1"/>
  <c r="T23" i="7"/>
  <c r="T29" i="7"/>
  <c r="AR532" i="1"/>
  <c r="AR29" i="7" s="1"/>
  <c r="AQ532" i="1"/>
  <c r="AQ29" i="7" s="1"/>
  <c r="AP532" i="1"/>
  <c r="AP29" i="7" s="1"/>
  <c r="AO532" i="1"/>
  <c r="AO29" i="7" s="1"/>
  <c r="AN532" i="1"/>
  <c r="AN29" i="7" s="1"/>
  <c r="AN527" i="1"/>
  <c r="AR527" i="1"/>
  <c r="AQ527" i="1"/>
  <c r="AP527" i="1"/>
  <c r="AO527" i="1"/>
  <c r="T527" i="1" a="1"/>
  <c r="T527" i="1" s="1"/>
  <c r="AR522" i="1"/>
  <c r="AQ522" i="1"/>
  <c r="AP522" i="1"/>
  <c r="AO522" i="1"/>
  <c r="T522" i="1" a="1"/>
  <c r="T522" i="1" s="1"/>
  <c r="AN522" i="1"/>
  <c r="AN510" i="1"/>
  <c r="AO510" i="1"/>
  <c r="AP510" i="1"/>
  <c r="AQ510" i="1"/>
  <c r="AR510" i="1"/>
  <c r="T98" i="15"/>
  <c r="AN505" i="1"/>
  <c r="AN98" i="15" s="1"/>
  <c r="AO505" i="1"/>
  <c r="AO98" i="15" s="1"/>
  <c r="AP505" i="1"/>
  <c r="AP98" i="15" s="1"/>
  <c r="AQ505" i="1"/>
  <c r="AQ98" i="15" s="1"/>
  <c r="AR505" i="1"/>
  <c r="AR98" i="15" s="1"/>
  <c r="AN491" i="1"/>
  <c r="AO491" i="1"/>
  <c r="AP491" i="1"/>
  <c r="AQ491" i="1"/>
  <c r="AR491" i="1"/>
  <c r="T491" i="1" a="1"/>
  <c r="T491" i="1" s="1"/>
  <c r="AR477" i="1"/>
  <c r="AN477" i="1"/>
  <c r="AO477" i="1"/>
  <c r="AP477" i="1"/>
  <c r="AQ477" i="1"/>
  <c r="AN463" i="1"/>
  <c r="AN119" i="15" s="1"/>
  <c r="AO463" i="1"/>
  <c r="AP463" i="1"/>
  <c r="AQ463" i="1"/>
  <c r="T463" i="1" a="1"/>
  <c r="T463" i="1" s="1"/>
  <c r="T442" i="1" a="1"/>
  <c r="T442" i="1" s="1"/>
  <c r="T448" i="1" a="1"/>
  <c r="T448" i="1" s="1"/>
  <c r="AN448" i="1"/>
  <c r="AO448" i="1"/>
  <c r="AP448" i="1"/>
  <c r="AQ448" i="1"/>
  <c r="AR448" i="1"/>
  <c r="T178" i="15"/>
  <c r="AN437" i="1"/>
  <c r="AO437" i="1"/>
  <c r="AP437" i="1"/>
  <c r="AQ437" i="1"/>
  <c r="AR437" i="1"/>
  <c r="AR430" i="1"/>
  <c r="AQ430" i="1"/>
  <c r="AP430" i="1"/>
  <c r="AO430" i="1"/>
  <c r="AN430" i="1"/>
  <c r="AD399" i="1"/>
  <c r="AE399" i="1"/>
  <c r="AF399" i="1"/>
  <c r="AG399" i="1"/>
  <c r="AC399" i="1"/>
  <c r="AB399" i="1"/>
  <c r="X399" i="1"/>
  <c r="Z399" i="1"/>
  <c r="AA399" i="1"/>
  <c r="W399" i="1"/>
  <c r="S399" i="1"/>
  <c r="R399" i="1"/>
  <c r="O399" i="1"/>
  <c r="M399" i="1"/>
  <c r="AR380" i="1"/>
  <c r="AO23" i="11" s="1"/>
  <c r="AQ380" i="1"/>
  <c r="AN23" i="11" s="1"/>
  <c r="AP380" i="1"/>
  <c r="AM23" i="11" s="1"/>
  <c r="AO380" i="1"/>
  <c r="AL23" i="11" s="1"/>
  <c r="T23" i="11"/>
  <c r="AN380" i="1"/>
  <c r="AK23" i="11" s="1"/>
  <c r="AD336" i="1"/>
  <c r="AE336" i="1"/>
  <c r="AF336" i="1"/>
  <c r="AG336" i="1"/>
  <c r="AC336" i="1"/>
  <c r="AB336" i="1"/>
  <c r="X336" i="1"/>
  <c r="AA336" i="1"/>
  <c r="W336" i="1"/>
  <c r="S336" i="1"/>
  <c r="R336" i="1"/>
  <c r="O336" i="1"/>
  <c r="AD289" i="1"/>
  <c r="AE289" i="1"/>
  <c r="AF289" i="1"/>
  <c r="AG289" i="1"/>
  <c r="AC289" i="1"/>
  <c r="AB289" i="1"/>
  <c r="X289" i="1"/>
  <c r="Z289" i="1"/>
  <c r="AA289" i="1"/>
  <c r="W289" i="1"/>
  <c r="S289" i="1"/>
  <c r="R289" i="1"/>
  <c r="O289" i="1"/>
  <c r="M289" i="1"/>
  <c r="T288" i="1" a="1"/>
  <c r="T288" i="1" s="1"/>
  <c r="T280" i="1" a="1"/>
  <c r="T280" i="1" s="1"/>
  <c r="T259" i="1" a="1"/>
  <c r="T259" i="1" s="1"/>
  <c r="T164" i="1" a="1"/>
  <c r="T164" i="1" s="1"/>
  <c r="AR143" i="1"/>
  <c r="AQ143" i="1"/>
  <c r="AP143" i="1"/>
  <c r="AO143" i="1"/>
  <c r="AN143" i="1"/>
  <c r="AD113" i="1"/>
  <c r="AE113" i="1"/>
  <c r="AF113" i="1"/>
  <c r="AG113" i="1"/>
  <c r="AC113" i="1"/>
  <c r="AB113" i="1"/>
  <c r="X113" i="1"/>
  <c r="Z113" i="1"/>
  <c r="AA113" i="1"/>
  <c r="W113" i="1"/>
  <c r="S113" i="1"/>
  <c r="R113" i="1"/>
  <c r="O113" i="1"/>
  <c r="M113" i="1"/>
  <c r="T112" i="1" a="1"/>
  <c r="T112" i="1" s="1"/>
  <c r="AE92" i="1"/>
  <c r="AC92" i="1"/>
  <c r="AB92" i="1"/>
  <c r="X92" i="1"/>
  <c r="Z92" i="1"/>
  <c r="AA92" i="1"/>
  <c r="W92" i="1"/>
  <c r="S92" i="1"/>
  <c r="R92" i="1"/>
  <c r="O92" i="1"/>
  <c r="N92" i="1"/>
  <c r="M92" i="1"/>
  <c r="T91" i="1" a="1"/>
  <c r="T91" i="1" s="1"/>
  <c r="O83" i="1"/>
  <c r="N83" i="1"/>
  <c r="M83" i="1"/>
  <c r="P49" i="1"/>
  <c r="R49" i="1"/>
  <c r="S49" i="1"/>
  <c r="U49" i="1"/>
  <c r="V49" i="1"/>
  <c r="W49" i="1"/>
  <c r="X49" i="1"/>
  <c r="Z49" i="1"/>
  <c r="AA49" i="1"/>
  <c r="AB49" i="1"/>
  <c r="AC49" i="1"/>
  <c r="AD49" i="1"/>
  <c r="AE49" i="1"/>
  <c r="AF49" i="1"/>
  <c r="AG49" i="1"/>
  <c r="AH49" i="1"/>
  <c r="AI49" i="1"/>
  <c r="AJ49" i="1"/>
  <c r="O49" i="1"/>
  <c r="B23" i="11"/>
  <c r="C23" i="11"/>
  <c r="D23" i="11"/>
  <c r="E23" i="11"/>
  <c r="H23" i="11"/>
  <c r="J23" i="11"/>
  <c r="K23" i="11"/>
  <c r="L23" i="11"/>
  <c r="M23" i="11"/>
  <c r="N23" i="11"/>
  <c r="O23" i="11"/>
  <c r="P23" i="11"/>
  <c r="Q23" i="11"/>
  <c r="R23" i="11"/>
  <c r="S23" i="11"/>
  <c r="U23" i="11"/>
  <c r="V23" i="11"/>
  <c r="W23" i="11"/>
  <c r="X23" i="11"/>
  <c r="Y23" i="11"/>
  <c r="Z23" i="11"/>
  <c r="AG23" i="11"/>
  <c r="AH23" i="11"/>
  <c r="AI23" i="11"/>
  <c r="A23" i="11"/>
  <c r="A18" i="11"/>
  <c r="B18" i="11"/>
  <c r="C18" i="11"/>
  <c r="D18" i="11"/>
  <c r="E18" i="11"/>
  <c r="H18" i="11"/>
  <c r="K18" i="11"/>
  <c r="L18" i="11"/>
  <c r="M18" i="11"/>
  <c r="N18" i="11"/>
  <c r="O18" i="11"/>
  <c r="P18" i="11"/>
  <c r="Q18" i="11"/>
  <c r="R18" i="11"/>
  <c r="S18" i="11"/>
  <c r="U18" i="11"/>
  <c r="V18" i="11"/>
  <c r="W18" i="11"/>
  <c r="X18" i="11"/>
  <c r="Y18" i="11"/>
  <c r="Z18" i="11"/>
  <c r="AG18" i="11"/>
  <c r="AH18" i="11"/>
  <c r="AI18" i="11"/>
  <c r="B13" i="11"/>
  <c r="C13" i="11"/>
  <c r="D13" i="11"/>
  <c r="E13" i="11"/>
  <c r="H13" i="11"/>
  <c r="K13" i="11"/>
  <c r="L13" i="11"/>
  <c r="M13" i="11"/>
  <c r="N13" i="11"/>
  <c r="O13" i="11"/>
  <c r="P13" i="11"/>
  <c r="Q13" i="11"/>
  <c r="R13" i="11"/>
  <c r="S13" i="11"/>
  <c r="U13" i="11"/>
  <c r="V13" i="11"/>
  <c r="W13" i="11"/>
  <c r="X13" i="11"/>
  <c r="Y13" i="11"/>
  <c r="Z13" i="11"/>
  <c r="AG13" i="11"/>
  <c r="AH13" i="11"/>
  <c r="AI13" i="11"/>
  <c r="A13" i="11"/>
  <c r="E8" i="11"/>
  <c r="C8" i="11"/>
  <c r="B8" i="11"/>
  <c r="C37" i="7"/>
  <c r="D37" i="7"/>
  <c r="E37" i="7"/>
  <c r="H37" i="7"/>
  <c r="K37" i="7"/>
  <c r="L37" i="7"/>
  <c r="M37" i="7"/>
  <c r="N37" i="7"/>
  <c r="P37" i="7"/>
  <c r="Q37" i="7"/>
  <c r="R37" i="7"/>
  <c r="S37" i="7"/>
  <c r="W37" i="7"/>
  <c r="X37" i="7"/>
  <c r="Z37" i="7"/>
  <c r="AA37" i="7"/>
  <c r="AB37" i="7"/>
  <c r="AH37" i="7"/>
  <c r="AI37" i="7"/>
  <c r="AJ37" i="7"/>
  <c r="B37" i="7"/>
  <c r="C45" i="7"/>
  <c r="H45" i="7"/>
  <c r="B62" i="7"/>
  <c r="C62" i="7"/>
  <c r="E62" i="7"/>
  <c r="H62" i="7"/>
  <c r="K62" i="7"/>
  <c r="B81" i="7"/>
  <c r="C81" i="7"/>
  <c r="D81" i="7"/>
  <c r="E81" i="7"/>
  <c r="F81" i="7"/>
  <c r="G81" i="7"/>
  <c r="H81" i="7"/>
  <c r="K81" i="7"/>
  <c r="L81" i="7"/>
  <c r="M81" i="7"/>
  <c r="N81" i="7"/>
  <c r="P81" i="7"/>
  <c r="Q81" i="7"/>
  <c r="R81" i="7"/>
  <c r="S81" i="7"/>
  <c r="T81" i="7"/>
  <c r="W81" i="7"/>
  <c r="X81" i="7"/>
  <c r="Z81" i="7"/>
  <c r="AA81" i="7"/>
  <c r="AB81" i="7"/>
  <c r="AH81" i="7"/>
  <c r="AI81" i="7"/>
  <c r="AJ81" i="7"/>
  <c r="C12" i="7"/>
  <c r="E12" i="7"/>
  <c r="F12" i="7"/>
  <c r="G12" i="7"/>
  <c r="H12" i="7"/>
  <c r="J12" i="7"/>
  <c r="K12" i="7"/>
  <c r="L12" i="7"/>
  <c r="M12" i="7"/>
  <c r="N12" i="7"/>
  <c r="O12" i="7"/>
  <c r="P12" i="7"/>
  <c r="R12" i="7"/>
  <c r="S12" i="7"/>
  <c r="U12" i="7"/>
  <c r="V12" i="7"/>
  <c r="W12" i="7"/>
  <c r="X12" i="7"/>
  <c r="Z12" i="7"/>
  <c r="AA12" i="7"/>
  <c r="AB12" i="7"/>
  <c r="AH12" i="7"/>
  <c r="AI12" i="7"/>
  <c r="AJ12" i="7"/>
  <c r="B12" i="7"/>
  <c r="N399" i="1"/>
  <c r="L399" i="1"/>
  <c r="J399" i="1"/>
  <c r="P336" i="1"/>
  <c r="N336" i="1"/>
  <c r="L336" i="1"/>
  <c r="Q289" i="1"/>
  <c r="P289" i="1"/>
  <c r="N289" i="1"/>
  <c r="L289" i="1"/>
  <c r="Q164" i="1"/>
  <c r="P113" i="1"/>
  <c r="N113" i="1"/>
  <c r="L113" i="1"/>
  <c r="P92" i="1"/>
  <c r="L92" i="1"/>
  <c r="P83" i="1"/>
  <c r="L83" i="1"/>
  <c r="N49" i="1"/>
  <c r="M49" i="1"/>
  <c r="L49" i="1"/>
  <c r="J313" i="1"/>
  <c r="J608" i="1"/>
  <c r="J590" i="1"/>
  <c r="J574" i="1"/>
  <c r="J62" i="7" s="1"/>
  <c r="J568" i="1"/>
  <c r="J563" i="1"/>
  <c r="J564" i="1" s="1"/>
  <c r="J557" i="1"/>
  <c r="J558" i="1" s="1"/>
  <c r="J289" i="1"/>
  <c r="AI399" i="1"/>
  <c r="AH399" i="1"/>
  <c r="V399" i="1"/>
  <c r="U399" i="1"/>
  <c r="P399" i="1"/>
  <c r="AJ336" i="1"/>
  <c r="AI336" i="1"/>
  <c r="AH336" i="1"/>
  <c r="V336" i="1"/>
  <c r="U336" i="1"/>
  <c r="M336" i="1"/>
  <c r="AJ289" i="1"/>
  <c r="AI289" i="1"/>
  <c r="AH289" i="1"/>
  <c r="V289" i="1"/>
  <c r="U289" i="1"/>
  <c r="AJ113" i="1"/>
  <c r="AI113" i="1"/>
  <c r="AH113" i="1"/>
  <c r="V113" i="1"/>
  <c r="U113" i="1"/>
  <c r="V92" i="1"/>
  <c r="U92" i="1"/>
  <c r="Q71" i="13" l="1"/>
  <c r="E29" i="11"/>
  <c r="E27" i="11"/>
  <c r="E28" i="11"/>
  <c r="T44" i="15"/>
  <c r="AP83" i="15"/>
  <c r="AO83" i="15"/>
  <c r="AN83" i="15"/>
  <c r="AR83" i="15"/>
  <c r="AS83" i="15"/>
  <c r="AQ83" i="15"/>
  <c r="T70" i="13"/>
  <c r="AR225" i="1"/>
  <c r="AQ225" i="1"/>
  <c r="AO225" i="1"/>
  <c r="AS225" i="1"/>
  <c r="AP225" i="1"/>
  <c r="J316" i="1"/>
  <c r="AP438" i="1"/>
  <c r="AR438" i="1"/>
  <c r="AQ438" i="1"/>
  <c r="T11" i="13" a="1"/>
  <c r="T11" i="13" s="1"/>
  <c r="T71" i="13" s="1"/>
  <c r="AO13" i="13"/>
  <c r="J73" i="13"/>
  <c r="AO12" i="13"/>
  <c r="J72" i="13"/>
  <c r="AL14" i="13"/>
  <c r="J74" i="13"/>
  <c r="AO11" i="13"/>
  <c r="AS96" i="15"/>
  <c r="T170" i="15"/>
  <c r="J74" i="7"/>
  <c r="T67" i="13"/>
  <c r="Q67" i="13"/>
  <c r="Y131" i="15"/>
  <c r="AS313" i="1"/>
  <c r="AN69" i="15"/>
  <c r="T100" i="15"/>
  <c r="Y116" i="15"/>
  <c r="AS116" i="15"/>
  <c r="Y164" i="15"/>
  <c r="AS568" i="1"/>
  <c r="AS569" i="1" s="1"/>
  <c r="J569" i="1"/>
  <c r="T569" i="1"/>
  <c r="Y146" i="15"/>
  <c r="AR492" i="1"/>
  <c r="AS46" i="15"/>
  <c r="T449" i="1"/>
  <c r="AS64" i="15"/>
  <c r="AN59" i="15"/>
  <c r="AR100" i="15"/>
  <c r="AN90" i="15"/>
  <c r="AP100" i="15"/>
  <c r="AO100" i="15"/>
  <c r="AQ100" i="15"/>
  <c r="AN100" i="15"/>
  <c r="AS100" i="15"/>
  <c r="AS183" i="15"/>
  <c r="AS563" i="1"/>
  <c r="AS564" i="1" s="1"/>
  <c r="AS314" i="1"/>
  <c r="J45" i="7"/>
  <c r="T62" i="7"/>
  <c r="J18" i="11"/>
  <c r="AS557" i="1"/>
  <c r="AS558" i="1" s="1"/>
  <c r="AS164" i="15"/>
  <c r="AS146" i="15"/>
  <c r="AS131" i="15"/>
  <c r="AR148" i="15"/>
  <c r="AS148" i="15"/>
  <c r="AS431" i="1"/>
  <c r="AS432" i="1" s="1"/>
  <c r="AO464" i="1"/>
  <c r="AP464" i="1"/>
  <c r="AS464" i="1"/>
  <c r="AN464" i="1"/>
  <c r="AQ464" i="1"/>
  <c r="AR464" i="1"/>
  <c r="AR478" i="1"/>
  <c r="AP478" i="1"/>
  <c r="AS478" i="1"/>
  <c r="AN478" i="1"/>
  <c r="AO478" i="1"/>
  <c r="AQ478" i="1"/>
  <c r="AP518" i="1"/>
  <c r="AN314" i="1"/>
  <c r="AP314" i="1"/>
  <c r="AP82" i="7" s="1"/>
  <c r="AR314" i="1"/>
  <c r="AR82" i="7" s="1"/>
  <c r="AO314" i="1"/>
  <c r="AO82" i="7" s="1"/>
  <c r="AQ314" i="1"/>
  <c r="AQ82" i="7" s="1"/>
  <c r="AQ518" i="1"/>
  <c r="AP523" i="1"/>
  <c r="AQ523" i="1"/>
  <c r="AO511" i="1"/>
  <c r="AR523" i="1"/>
  <c r="AR518" i="1"/>
  <c r="J37" i="7"/>
  <c r="AS608" i="1"/>
  <c r="AS37" i="7" s="1"/>
  <c r="AS40" i="7" s="1"/>
  <c r="AS574" i="1"/>
  <c r="AS62" i="7" s="1"/>
  <c r="AS590" i="1"/>
  <c r="AO492" i="1"/>
  <c r="AQ431" i="1"/>
  <c r="AQ492" i="1"/>
  <c r="AQ148" i="15"/>
  <c r="AO518" i="1"/>
  <c r="AO438" i="1"/>
  <c r="AN511" i="1"/>
  <c r="AO523" i="1"/>
  <c r="AP148" i="15"/>
  <c r="AN148" i="15"/>
  <c r="AR511" i="1"/>
  <c r="AN523" i="1"/>
  <c r="AN518" i="1"/>
  <c r="AO431" i="1"/>
  <c r="AR431" i="1"/>
  <c r="AP431" i="1"/>
  <c r="AO148" i="15"/>
  <c r="AN438" i="1"/>
  <c r="AN431" i="1"/>
  <c r="AP492" i="1"/>
  <c r="AP506" i="1"/>
  <c r="AO506" i="1"/>
  <c r="AN492" i="1"/>
  <c r="AN506" i="1"/>
  <c r="AQ511" i="1"/>
  <c r="AP511" i="1"/>
  <c r="AD24" i="7"/>
  <c r="AC24" i="7"/>
  <c r="AQ178" i="15"/>
  <c r="AO178" i="15"/>
  <c r="AR134" i="15"/>
  <c r="AR178" i="15"/>
  <c r="AR151" i="15"/>
  <c r="AP44" i="15"/>
  <c r="T134" i="15"/>
  <c r="AQ134" i="15"/>
  <c r="AP178" i="15"/>
  <c r="AN44" i="15"/>
  <c r="AR103" i="15"/>
  <c r="AQ151" i="15"/>
  <c r="AQ44" i="15"/>
  <c r="AO134" i="15"/>
  <c r="AO44" i="15"/>
  <c r="AQ103" i="15"/>
  <c r="AP151" i="15"/>
  <c r="AR44" i="15"/>
  <c r="AO103" i="15"/>
  <c r="AN151" i="15"/>
  <c r="AN103" i="15"/>
  <c r="AN134" i="15"/>
  <c r="T151" i="15"/>
  <c r="T103" i="15"/>
  <c r="AN178" i="15"/>
  <c r="AO151" i="15"/>
  <c r="T119" i="15"/>
  <c r="AP134" i="15"/>
  <c r="AP103" i="15"/>
  <c r="AQ119" i="15"/>
  <c r="AP119" i="15"/>
  <c r="AO119" i="15"/>
  <c r="AB24" i="7"/>
  <c r="Q12" i="7"/>
  <c r="T73" i="13"/>
  <c r="T68" i="13"/>
  <c r="T72" i="13"/>
  <c r="T69" i="13"/>
  <c r="Q68" i="13"/>
  <c r="Q72" i="13"/>
  <c r="Q73" i="13"/>
  <c r="AM13" i="13"/>
  <c r="AN13" i="13"/>
  <c r="AM14" i="13"/>
  <c r="AK11" i="13"/>
  <c r="AN14" i="13"/>
  <c r="AL11" i="13"/>
  <c r="AO14" i="13"/>
  <c r="AM11" i="13"/>
  <c r="AN11" i="13"/>
  <c r="AK12" i="13"/>
  <c r="AL12" i="13"/>
  <c r="T14" i="13" a="1"/>
  <c r="T14" i="13" s="1"/>
  <c r="T74" i="13" s="1"/>
  <c r="AK13" i="13"/>
  <c r="AL13" i="13"/>
  <c r="AK14" i="13"/>
  <c r="AM12" i="13"/>
  <c r="AN12" i="13"/>
  <c r="AN608" i="1"/>
  <c r="AN37" i="7" s="1"/>
  <c r="AR608" i="1"/>
  <c r="AR37" i="7" s="1"/>
  <c r="AP608" i="1"/>
  <c r="AP37" i="7" s="1"/>
  <c r="AO608" i="1"/>
  <c r="AO37" i="7" s="1"/>
  <c r="AP568" i="1"/>
  <c r="AM8" i="11" s="1"/>
  <c r="J8" i="11"/>
  <c r="J81" i="7"/>
  <c r="AO313" i="1"/>
  <c r="AO81" i="7" s="1"/>
  <c r="AN313" i="1"/>
  <c r="AN81" i="7" s="1"/>
  <c r="J13" i="11"/>
  <c r="AN563" i="1"/>
  <c r="AK13" i="11" s="1"/>
  <c r="AQ608" i="1"/>
  <c r="AQ37" i="7" s="1"/>
  <c r="AP574" i="1"/>
  <c r="AQ574" i="1"/>
  <c r="AN590" i="1"/>
  <c r="AN45" i="7" s="1"/>
  <c r="AQ590" i="1"/>
  <c r="AQ45" i="7" s="1"/>
  <c r="AP590" i="1"/>
  <c r="AP45" i="7" s="1"/>
  <c r="AO574" i="1"/>
  <c r="AR590" i="1"/>
  <c r="AR45" i="7" s="1"/>
  <c r="AO590" i="1"/>
  <c r="AO45" i="7" s="1"/>
  <c r="AR574" i="1"/>
  <c r="AN574" i="1"/>
  <c r="AQ563" i="1"/>
  <c r="AN13" i="11" s="1"/>
  <c r="AP563" i="1"/>
  <c r="AM13" i="11" s="1"/>
  <c r="AO563" i="1"/>
  <c r="AL13" i="11" s="1"/>
  <c r="AR563" i="1"/>
  <c r="AO13" i="11" s="1"/>
  <c r="AQ557" i="1"/>
  <c r="AN18" i="11" s="1"/>
  <c r="AP557" i="1"/>
  <c r="AM18" i="11" s="1"/>
  <c r="AO557" i="1"/>
  <c r="AL18" i="11" s="1"/>
  <c r="AR557" i="1"/>
  <c r="AO18" i="11" s="1"/>
  <c r="AN557" i="1"/>
  <c r="AK18" i="11" s="1"/>
  <c r="AO568" i="1"/>
  <c r="AL8" i="11" s="1"/>
  <c r="AR568" i="1"/>
  <c r="AO8" i="11" s="1"/>
  <c r="AN568" i="1"/>
  <c r="AK8" i="11" s="1"/>
  <c r="AQ568" i="1"/>
  <c r="AN8" i="11" s="1"/>
  <c r="AR313" i="1"/>
  <c r="AR81" i="7" s="1"/>
  <c r="AQ313" i="1"/>
  <c r="AQ81" i="7" s="1"/>
  <c r="AP313" i="1"/>
  <c r="AP81" i="7" s="1"/>
  <c r="J44" i="7"/>
  <c r="O17" i="7"/>
  <c r="M17" i="7"/>
  <c r="T447" i="1" a="1"/>
  <c r="T447" i="1" s="1"/>
  <c r="AR490" i="1"/>
  <c r="AR312" i="1"/>
  <c r="AR80" i="7" s="1"/>
  <c r="AQ490" i="1"/>
  <c r="AP490" i="1"/>
  <c r="AO490" i="1"/>
  <c r="AN490" i="1"/>
  <c r="AR476" i="1"/>
  <c r="AQ476" i="1"/>
  <c r="AP476" i="1"/>
  <c r="AO476" i="1"/>
  <c r="AN476" i="1"/>
  <c r="AR462" i="1"/>
  <c r="AQ462" i="1"/>
  <c r="AP462" i="1"/>
  <c r="AO462" i="1"/>
  <c r="AN462" i="1"/>
  <c r="AN118" i="15" s="1"/>
  <c r="T462" i="1" a="1"/>
  <c r="T462" i="1" s="1"/>
  <c r="AR447" i="1"/>
  <c r="AQ447" i="1"/>
  <c r="AP447" i="1"/>
  <c r="AO447" i="1"/>
  <c r="AN447" i="1"/>
  <c r="R12" i="11"/>
  <c r="S12" i="11"/>
  <c r="T12" i="11"/>
  <c r="U12" i="11"/>
  <c r="V12" i="11"/>
  <c r="W12" i="11"/>
  <c r="X12" i="11"/>
  <c r="Y12" i="11"/>
  <c r="Z12" i="11"/>
  <c r="AA12" i="11"/>
  <c r="AB12" i="11"/>
  <c r="AC12" i="11"/>
  <c r="AD12" i="11"/>
  <c r="AE12" i="11"/>
  <c r="AF12" i="11"/>
  <c r="AG12" i="11"/>
  <c r="AH12" i="11"/>
  <c r="AI12" i="11"/>
  <c r="R17" i="11"/>
  <c r="S17" i="11"/>
  <c r="U17" i="11"/>
  <c r="V17" i="11"/>
  <c r="W17" i="11"/>
  <c r="X17" i="11"/>
  <c r="Y17" i="11"/>
  <c r="Z17" i="11"/>
  <c r="AA17" i="11"/>
  <c r="AB17" i="11"/>
  <c r="AC17" i="11"/>
  <c r="AD17" i="11"/>
  <c r="AE17" i="11"/>
  <c r="AF17" i="11"/>
  <c r="AG17" i="11"/>
  <c r="AH17" i="11"/>
  <c r="AI17" i="11"/>
  <c r="R22" i="11"/>
  <c r="S22" i="11"/>
  <c r="U22" i="11"/>
  <c r="V22" i="11"/>
  <c r="W22" i="11"/>
  <c r="X22" i="11"/>
  <c r="Y22" i="11"/>
  <c r="Z22" i="11"/>
  <c r="AA22" i="11"/>
  <c r="AB22" i="11"/>
  <c r="AC22" i="11"/>
  <c r="AD22" i="11"/>
  <c r="AE22" i="11"/>
  <c r="AF22" i="11"/>
  <c r="AG22" i="11"/>
  <c r="AH22" i="11"/>
  <c r="AI22" i="11"/>
  <c r="R80" i="7"/>
  <c r="Q80" i="7" s="1"/>
  <c r="S80" i="7"/>
  <c r="T80" i="7"/>
  <c r="W80" i="7"/>
  <c r="X80" i="7"/>
  <c r="Z80" i="7"/>
  <c r="AA80" i="7"/>
  <c r="AB80" i="7"/>
  <c r="AC80" i="7"/>
  <c r="AD80" i="7"/>
  <c r="AE80" i="7"/>
  <c r="AF80" i="7"/>
  <c r="AG80" i="7"/>
  <c r="AH80" i="7"/>
  <c r="AI80" i="7"/>
  <c r="AJ80" i="7"/>
  <c r="R36" i="7"/>
  <c r="S36" i="7"/>
  <c r="T36" i="7"/>
  <c r="W36" i="7"/>
  <c r="X36" i="7"/>
  <c r="Z36" i="7"/>
  <c r="AA36" i="7"/>
  <c r="AB36" i="7"/>
  <c r="AC36" i="7"/>
  <c r="AD36" i="7"/>
  <c r="AE36" i="7"/>
  <c r="AF36" i="7"/>
  <c r="AG36" i="7"/>
  <c r="AH36" i="7"/>
  <c r="AI36" i="7"/>
  <c r="AJ36" i="7"/>
  <c r="S17" i="7"/>
  <c r="T17" i="7"/>
  <c r="U17" i="7"/>
  <c r="V17" i="7"/>
  <c r="W17" i="7"/>
  <c r="X17" i="7"/>
  <c r="Z17" i="7"/>
  <c r="AA17" i="7"/>
  <c r="AB17" i="7"/>
  <c r="AC17" i="7"/>
  <c r="AD17" i="7"/>
  <c r="AE17" i="7"/>
  <c r="AF17" i="7"/>
  <c r="AG17" i="7"/>
  <c r="AH17" i="7"/>
  <c r="AI17" i="7"/>
  <c r="AJ17" i="7"/>
  <c r="R17" i="7"/>
  <c r="AO616" i="1"/>
  <c r="AP616" i="1"/>
  <c r="AQ616" i="1"/>
  <c r="AR616" i="1"/>
  <c r="AN616" i="1"/>
  <c r="AN607" i="1"/>
  <c r="AN36" i="7" s="1"/>
  <c r="AO607" i="1"/>
  <c r="AO36" i="7" s="1"/>
  <c r="AP607" i="1"/>
  <c r="AP36" i="7" s="1"/>
  <c r="AQ607" i="1"/>
  <c r="AQ36" i="7" s="1"/>
  <c r="AR607" i="1"/>
  <c r="AR36" i="7" s="1"/>
  <c r="AN603" i="1"/>
  <c r="AO603" i="1"/>
  <c r="AP603" i="1"/>
  <c r="AQ603" i="1"/>
  <c r="AR603" i="1"/>
  <c r="AO573" i="1"/>
  <c r="AO61" i="7" s="1"/>
  <c r="AP573" i="1"/>
  <c r="AQ573" i="1"/>
  <c r="AR573" i="1"/>
  <c r="AN567" i="1"/>
  <c r="AO567" i="1"/>
  <c r="AP567" i="1"/>
  <c r="AQ567" i="1"/>
  <c r="AR567" i="1"/>
  <c r="AN562" i="1"/>
  <c r="AK12" i="11" s="1"/>
  <c r="AO562" i="1"/>
  <c r="AL12" i="11" s="1"/>
  <c r="AP562" i="1"/>
  <c r="AM12" i="11" s="1"/>
  <c r="AQ562" i="1"/>
  <c r="AN12" i="11" s="1"/>
  <c r="AR562" i="1"/>
  <c r="AO12" i="11" s="1"/>
  <c r="AN556" i="1"/>
  <c r="AK17" i="11" s="1"/>
  <c r="AO556" i="1"/>
  <c r="AL17" i="11" s="1"/>
  <c r="AP556" i="1"/>
  <c r="AM17" i="11" s="1"/>
  <c r="AQ556" i="1"/>
  <c r="AN17" i="11" s="1"/>
  <c r="AR556" i="1"/>
  <c r="AO17" i="11" s="1"/>
  <c r="AN543" i="1"/>
  <c r="AN11" i="7" s="1"/>
  <c r="AO543" i="1"/>
  <c r="AP543" i="1"/>
  <c r="AQ543" i="1"/>
  <c r="AR543" i="1"/>
  <c r="AN526" i="1"/>
  <c r="AO526" i="1"/>
  <c r="AP526" i="1"/>
  <c r="AQ526" i="1"/>
  <c r="AR526" i="1"/>
  <c r="AN521" i="1"/>
  <c r="AO521" i="1"/>
  <c r="AP521" i="1"/>
  <c r="AQ521" i="1"/>
  <c r="AR521" i="1"/>
  <c r="AN517" i="1"/>
  <c r="AO517" i="1"/>
  <c r="AP517" i="1"/>
  <c r="AQ517" i="1"/>
  <c r="AR517" i="1"/>
  <c r="AN509" i="1"/>
  <c r="AO509" i="1"/>
  <c r="AP509" i="1"/>
  <c r="AQ509" i="1"/>
  <c r="AR509" i="1"/>
  <c r="AN436" i="1"/>
  <c r="AO436" i="1"/>
  <c r="AP436" i="1"/>
  <c r="AQ436" i="1"/>
  <c r="AR436" i="1"/>
  <c r="AO429" i="1"/>
  <c r="AP429" i="1"/>
  <c r="AQ429" i="1"/>
  <c r="AR429" i="1"/>
  <c r="AN429" i="1"/>
  <c r="AO379" i="1"/>
  <c r="AL22" i="11" s="1"/>
  <c r="AQ379" i="1"/>
  <c r="AN22" i="11" s="1"/>
  <c r="AR379" i="1"/>
  <c r="AO22" i="11" s="1"/>
  <c r="AN379" i="1"/>
  <c r="AK22" i="11" s="1"/>
  <c r="AN287" i="1"/>
  <c r="AR287" i="1"/>
  <c r="AQ287" i="1"/>
  <c r="AP287" i="1"/>
  <c r="AO287" i="1"/>
  <c r="T521" i="1" a="1"/>
  <c r="T521" i="1" s="1"/>
  <c r="T22" i="11"/>
  <c r="T334" i="1" a="1"/>
  <c r="T334" i="1" s="1"/>
  <c r="T333" i="1" a="1"/>
  <c r="T333" i="1" s="1"/>
  <c r="AQ312" i="1"/>
  <c r="AQ80" i="7" s="1"/>
  <c r="AO312" i="1"/>
  <c r="AO80" i="7" s="1"/>
  <c r="AN312" i="1"/>
  <c r="AN80" i="7" s="1"/>
  <c r="AP80" i="7"/>
  <c r="T287" i="1" a="1"/>
  <c r="T287" i="1" s="1"/>
  <c r="T278" i="1" a="1"/>
  <c r="T278" i="1" s="1"/>
  <c r="T279" i="1" a="1"/>
  <c r="T279" i="1" s="1"/>
  <c r="T286" i="1" a="1"/>
  <c r="T286" i="1" s="1"/>
  <c r="T257" i="1" a="1"/>
  <c r="T257" i="1" s="1"/>
  <c r="T177" i="1" a="1"/>
  <c r="T177" i="1" s="1"/>
  <c r="T179" i="1" a="1"/>
  <c r="T179" i="1" s="1"/>
  <c r="AQ17" i="7" l="1"/>
  <c r="AR17" i="7"/>
  <c r="AN17" i="7"/>
  <c r="AN131" i="15"/>
  <c r="AQ23" i="7"/>
  <c r="AS316" i="1"/>
  <c r="AR23" i="7"/>
  <c r="AN22" i="7"/>
  <c r="AN23" i="7"/>
  <c r="AP23" i="7"/>
  <c r="AO23" i="7"/>
  <c r="AS82" i="7"/>
  <c r="T17" i="11"/>
  <c r="AS74" i="7"/>
  <c r="AN82" i="7"/>
  <c r="AS45" i="7"/>
  <c r="AR62" i="7"/>
  <c r="AO62" i="7"/>
  <c r="AP61" i="7"/>
  <c r="AQ62" i="7"/>
  <c r="AP62" i="7"/>
  <c r="AN62" i="7"/>
  <c r="AR61" i="7"/>
  <c r="AQ61" i="7"/>
  <c r="AS81" i="7"/>
  <c r="AQ62" i="15"/>
  <c r="AO150" i="15"/>
  <c r="AO102" i="15"/>
  <c r="AQ150" i="15"/>
  <c r="T177" i="15"/>
  <c r="T43" i="15"/>
  <c r="AR43" i="15"/>
  <c r="AP102" i="15"/>
  <c r="T42" i="15"/>
  <c r="AQ43" i="15"/>
  <c r="AQ102" i="15"/>
  <c r="T96" i="15"/>
  <c r="AP43" i="15"/>
  <c r="AR102" i="15"/>
  <c r="AO43" i="15"/>
  <c r="T118" i="15"/>
  <c r="T62" i="15"/>
  <c r="AN43" i="15"/>
  <c r="AR150" i="15"/>
  <c r="T61" i="15"/>
  <c r="AR177" i="15"/>
  <c r="AO118" i="15"/>
  <c r="T102" i="15"/>
  <c r="T116" i="15" s="1"/>
  <c r="AN150" i="15"/>
  <c r="AP62" i="15"/>
  <c r="AO133" i="15"/>
  <c r="AN102" i="15"/>
  <c r="AN62" i="15"/>
  <c r="AR118" i="15"/>
  <c r="T133" i="15"/>
  <c r="AN133" i="15"/>
  <c r="AP133" i="15"/>
  <c r="AO62" i="15"/>
  <c r="AP150" i="15"/>
  <c r="AP177" i="15"/>
  <c r="AQ118" i="15"/>
  <c r="AO177" i="15"/>
  <c r="AN177" i="15"/>
  <c r="AQ133" i="15"/>
  <c r="AR133" i="15"/>
  <c r="AQ177" i="15"/>
  <c r="AP118" i="15"/>
  <c r="AR62" i="15"/>
  <c r="T150" i="15"/>
  <c r="T164" i="15" s="1"/>
  <c r="Q36" i="7"/>
  <c r="T162" i="1" a="1"/>
  <c r="T162" i="1" s="1"/>
  <c r="T163" i="1" a="1"/>
  <c r="T163" i="1" s="1"/>
  <c r="AR142" i="1"/>
  <c r="AQ142" i="1"/>
  <c r="AP142" i="1"/>
  <c r="AO142" i="1"/>
  <c r="AN142" i="1"/>
  <c r="T111" i="1" a="1"/>
  <c r="T111" i="1" s="1"/>
  <c r="T110" i="1" a="1"/>
  <c r="T110" i="1" s="1"/>
  <c r="T90" i="1" a="1"/>
  <c r="T90" i="1" s="1"/>
  <c r="T89" i="1" a="1"/>
  <c r="T89" i="1" s="1"/>
  <c r="T81" i="1" a="1"/>
  <c r="T81" i="1" s="1"/>
  <c r="T80" i="1" a="1"/>
  <c r="T80" i="1" s="1"/>
  <c r="T47" i="1" a="1"/>
  <c r="T47" i="1" s="1"/>
  <c r="T46" i="1" a="1"/>
  <c r="T46" i="1" s="1"/>
  <c r="A22" i="11"/>
  <c r="B22" i="11"/>
  <c r="C22" i="11"/>
  <c r="D22" i="11"/>
  <c r="E22" i="11"/>
  <c r="H22" i="11"/>
  <c r="J22" i="11"/>
  <c r="K22" i="11"/>
  <c r="L22" i="11"/>
  <c r="M22" i="11"/>
  <c r="N22" i="11"/>
  <c r="O22" i="11"/>
  <c r="P22" i="11"/>
  <c r="Q22" i="11"/>
  <c r="A17" i="11"/>
  <c r="B17" i="11"/>
  <c r="C17" i="11"/>
  <c r="D17" i="11"/>
  <c r="E17" i="11"/>
  <c r="H17" i="11"/>
  <c r="J17" i="11"/>
  <c r="K17" i="11"/>
  <c r="L17" i="11"/>
  <c r="M17" i="11"/>
  <c r="N17" i="11"/>
  <c r="O17" i="11"/>
  <c r="P17" i="11"/>
  <c r="Q17" i="11"/>
  <c r="A12" i="11"/>
  <c r="B12" i="11"/>
  <c r="C12" i="11"/>
  <c r="D12" i="11"/>
  <c r="E12" i="11"/>
  <c r="H12" i="11"/>
  <c r="J12" i="11"/>
  <c r="K12" i="11"/>
  <c r="L12" i="11"/>
  <c r="M12" i="11"/>
  <c r="N12" i="11"/>
  <c r="O12" i="11"/>
  <c r="P12" i="11"/>
  <c r="Q12" i="11"/>
  <c r="B7" i="11"/>
  <c r="C7" i="11"/>
  <c r="E7" i="11"/>
  <c r="H7" i="11"/>
  <c r="J7" i="11"/>
  <c r="K7" i="11"/>
  <c r="L7" i="11"/>
  <c r="M7" i="11"/>
  <c r="N7" i="11"/>
  <c r="O7" i="11"/>
  <c r="P7" i="11"/>
  <c r="Q7" i="11"/>
  <c r="A7" i="11"/>
  <c r="A80" i="7"/>
  <c r="B80" i="7"/>
  <c r="C80" i="7"/>
  <c r="D80" i="7"/>
  <c r="E80" i="7"/>
  <c r="F80" i="7"/>
  <c r="G80" i="7"/>
  <c r="H80" i="7"/>
  <c r="J80" i="7"/>
  <c r="K80" i="7"/>
  <c r="L80" i="7"/>
  <c r="M80" i="7"/>
  <c r="N80" i="7"/>
  <c r="O80" i="7"/>
  <c r="P80" i="7"/>
  <c r="B61" i="7"/>
  <c r="C61" i="7"/>
  <c r="E61" i="7"/>
  <c r="H61" i="7"/>
  <c r="K61" i="7"/>
  <c r="A61" i="7"/>
  <c r="A36" i="7"/>
  <c r="B36" i="7"/>
  <c r="C36" i="7"/>
  <c r="D36" i="7"/>
  <c r="E36" i="7"/>
  <c r="H36" i="7"/>
  <c r="J36" i="7"/>
  <c r="K36" i="7"/>
  <c r="L36" i="7"/>
  <c r="M36" i="7"/>
  <c r="N36" i="7"/>
  <c r="O36" i="7"/>
  <c r="P36" i="7"/>
  <c r="F17" i="7"/>
  <c r="G17" i="7"/>
  <c r="H17" i="7"/>
  <c r="J17" i="7"/>
  <c r="K17" i="7"/>
  <c r="L17" i="7"/>
  <c r="N17" i="7"/>
  <c r="P17" i="7"/>
  <c r="Q17" i="7"/>
  <c r="A17" i="7"/>
  <c r="B17" i="7"/>
  <c r="C17" i="7"/>
  <c r="D17" i="7"/>
  <c r="E17" i="7"/>
  <c r="R11" i="7"/>
  <c r="S11" i="7"/>
  <c r="T11" i="7"/>
  <c r="U11" i="7"/>
  <c r="V11" i="7"/>
  <c r="W11" i="7"/>
  <c r="X11" i="7"/>
  <c r="Z11" i="7"/>
  <c r="AA11" i="7"/>
  <c r="AB11" i="7"/>
  <c r="AC11" i="7"/>
  <c r="AD11" i="7"/>
  <c r="AE11" i="7"/>
  <c r="AF11" i="7"/>
  <c r="AG11" i="7"/>
  <c r="AH11" i="7"/>
  <c r="AI11" i="7"/>
  <c r="AJ11" i="7"/>
  <c r="AO11" i="7"/>
  <c r="AP11" i="7"/>
  <c r="AQ11" i="7"/>
  <c r="AR11" i="7"/>
  <c r="P11" i="7"/>
  <c r="O11" i="7"/>
  <c r="M11" i="7"/>
  <c r="N11" i="7"/>
  <c r="J11" i="7"/>
  <c r="K11" i="7"/>
  <c r="L11" i="7"/>
  <c r="F11" i="7"/>
  <c r="G11" i="7"/>
  <c r="H11" i="7"/>
  <c r="E11" i="7"/>
  <c r="C11" i="7"/>
  <c r="B11" i="7"/>
  <c r="A11" i="7"/>
  <c r="K60" i="7"/>
  <c r="H60" i="7"/>
  <c r="E60" i="7"/>
  <c r="B60" i="7"/>
  <c r="A60" i="7"/>
  <c r="K43" i="7"/>
  <c r="H43" i="7"/>
  <c r="E43" i="7"/>
  <c r="C43" i="7"/>
  <c r="B43" i="7"/>
  <c r="A43" i="7"/>
  <c r="AR606" i="1"/>
  <c r="AR35" i="7" s="1"/>
  <c r="AQ606" i="1"/>
  <c r="AQ35" i="7" s="1"/>
  <c r="AP606" i="1"/>
  <c r="AP35" i="7" s="1"/>
  <c r="AO606" i="1"/>
  <c r="AO35" i="7" s="1"/>
  <c r="AN606" i="1"/>
  <c r="AN35" i="7" s="1"/>
  <c r="AR572" i="1"/>
  <c r="AR60" i="7" s="1"/>
  <c r="AQ572" i="1"/>
  <c r="AP572" i="1"/>
  <c r="AP60" i="7" s="1"/>
  <c r="AO572" i="1"/>
  <c r="AO60" i="7" s="1"/>
  <c r="AN572" i="1"/>
  <c r="AN60" i="7" s="1"/>
  <c r="AR566" i="1"/>
  <c r="AQ566" i="1"/>
  <c r="AP566" i="1"/>
  <c r="AO566" i="1"/>
  <c r="AN566" i="1"/>
  <c r="AR561" i="1"/>
  <c r="AO11" i="11" s="1"/>
  <c r="AQ561" i="1"/>
  <c r="AN11" i="11" s="1"/>
  <c r="AP561" i="1"/>
  <c r="AM11" i="11" s="1"/>
  <c r="AO561" i="1"/>
  <c r="AL11" i="11" s="1"/>
  <c r="AN561" i="1"/>
  <c r="AK11" i="11" s="1"/>
  <c r="AR555" i="1"/>
  <c r="AO16" i="11" s="1"/>
  <c r="AQ555" i="1"/>
  <c r="AN16" i="11" s="1"/>
  <c r="AP555" i="1"/>
  <c r="AM16" i="11" s="1"/>
  <c r="AO555" i="1"/>
  <c r="AL16" i="11" s="1"/>
  <c r="AN555" i="1"/>
  <c r="AK16" i="11" s="1"/>
  <c r="AR542" i="1"/>
  <c r="AR10" i="7" s="1"/>
  <c r="AQ542" i="1"/>
  <c r="AQ10" i="7" s="1"/>
  <c r="AP542" i="1"/>
  <c r="AP10" i="7" s="1"/>
  <c r="AO542" i="1"/>
  <c r="AO10" i="7" s="1"/>
  <c r="AN542" i="1"/>
  <c r="AN10" i="7" s="1"/>
  <c r="AR525" i="1"/>
  <c r="AQ525" i="1"/>
  <c r="AP525" i="1"/>
  <c r="AO525" i="1"/>
  <c r="AN525" i="1"/>
  <c r="AR520" i="1"/>
  <c r="AR42" i="15" s="1"/>
  <c r="AQ520" i="1"/>
  <c r="AQ42" i="15" s="1"/>
  <c r="AP520" i="1"/>
  <c r="AP42" i="15" s="1"/>
  <c r="AO520" i="1"/>
  <c r="AO42" i="15" s="1"/>
  <c r="AN520" i="1"/>
  <c r="AN42" i="15" s="1"/>
  <c r="AR516" i="1"/>
  <c r="AR61" i="15" s="1"/>
  <c r="AQ516" i="1"/>
  <c r="AQ61" i="15" s="1"/>
  <c r="AP516" i="1"/>
  <c r="AP61" i="15" s="1"/>
  <c r="AO516" i="1"/>
  <c r="AO61" i="15" s="1"/>
  <c r="AN516" i="1"/>
  <c r="AN61" i="15" s="1"/>
  <c r="AR508" i="1"/>
  <c r="AQ508" i="1"/>
  <c r="AP508" i="1"/>
  <c r="AO508" i="1"/>
  <c r="AN508" i="1"/>
  <c r="AR435" i="1"/>
  <c r="AR176" i="15" s="1"/>
  <c r="AQ435" i="1"/>
  <c r="AQ176" i="15" s="1"/>
  <c r="AP435" i="1"/>
  <c r="AP176" i="15" s="1"/>
  <c r="AO435" i="1"/>
  <c r="AO176" i="15" s="1"/>
  <c r="AN435" i="1"/>
  <c r="AN176" i="15" s="1"/>
  <c r="AR428" i="1"/>
  <c r="AQ428" i="1"/>
  <c r="AP428" i="1"/>
  <c r="AO428" i="1"/>
  <c r="AN428" i="1"/>
  <c r="AR378" i="1"/>
  <c r="AO21" i="11" s="1"/>
  <c r="AQ378" i="1"/>
  <c r="AN21" i="11" s="1"/>
  <c r="AP378" i="1"/>
  <c r="AM21" i="11" s="1"/>
  <c r="AO378" i="1"/>
  <c r="AL21" i="11" s="1"/>
  <c r="AN378" i="1"/>
  <c r="AK21" i="11" s="1"/>
  <c r="AR311" i="1"/>
  <c r="AR79" i="7" s="1"/>
  <c r="AQ311" i="1"/>
  <c r="AQ79" i="7" s="1"/>
  <c r="AP311" i="1"/>
  <c r="AP79" i="7" s="1"/>
  <c r="AO311" i="1"/>
  <c r="AO79" i="7" s="1"/>
  <c r="AN311" i="1"/>
  <c r="AN79" i="7" s="1"/>
  <c r="AR286" i="1"/>
  <c r="AQ286" i="1"/>
  <c r="AP286" i="1"/>
  <c r="AO286" i="1"/>
  <c r="AN286" i="1"/>
  <c r="AR200" i="1"/>
  <c r="AQ200" i="1"/>
  <c r="AP200" i="1"/>
  <c r="AO200" i="1"/>
  <c r="AN200" i="1"/>
  <c r="AR141" i="1"/>
  <c r="AQ141" i="1"/>
  <c r="AP141" i="1"/>
  <c r="AO141" i="1"/>
  <c r="AN141" i="1"/>
  <c r="AI21" i="11"/>
  <c r="AH21" i="11"/>
  <c r="AG21" i="11"/>
  <c r="AF21" i="11"/>
  <c r="AE21" i="11"/>
  <c r="AD21" i="11"/>
  <c r="AC21" i="11"/>
  <c r="AB21" i="11"/>
  <c r="AA21" i="11"/>
  <c r="Z21" i="11"/>
  <c r="Y21" i="11"/>
  <c r="X21" i="11"/>
  <c r="W21" i="11"/>
  <c r="V21" i="11"/>
  <c r="U21" i="11"/>
  <c r="T21" i="11"/>
  <c r="S21" i="11"/>
  <c r="R21" i="11"/>
  <c r="Q21" i="11"/>
  <c r="P21" i="11"/>
  <c r="O21" i="11"/>
  <c r="N21" i="11"/>
  <c r="M21" i="11"/>
  <c r="L21" i="11"/>
  <c r="K21" i="11"/>
  <c r="J21" i="11"/>
  <c r="H21" i="11"/>
  <c r="E21" i="11"/>
  <c r="D21" i="11"/>
  <c r="C21" i="11"/>
  <c r="B21" i="11"/>
  <c r="AI16" i="11"/>
  <c r="AH16" i="11"/>
  <c r="AG16" i="11"/>
  <c r="AF16" i="11"/>
  <c r="AE16" i="11"/>
  <c r="AD16" i="11"/>
  <c r="AC16" i="11"/>
  <c r="AB16" i="11"/>
  <c r="AA16" i="11"/>
  <c r="Z16" i="11"/>
  <c r="Y16" i="11"/>
  <c r="X16" i="11"/>
  <c r="W16" i="11"/>
  <c r="V16" i="11"/>
  <c r="U16" i="11"/>
  <c r="T16" i="11"/>
  <c r="S16" i="11"/>
  <c r="R16" i="11"/>
  <c r="Q16" i="11"/>
  <c r="P16" i="11"/>
  <c r="O16" i="11"/>
  <c r="N16" i="11"/>
  <c r="M16" i="11"/>
  <c r="L16" i="11"/>
  <c r="K16" i="11"/>
  <c r="J16" i="11"/>
  <c r="H16" i="11"/>
  <c r="E16" i="11"/>
  <c r="D16" i="11"/>
  <c r="C16" i="11"/>
  <c r="B16" i="11"/>
  <c r="AI11" i="11"/>
  <c r="AH11" i="11"/>
  <c r="AG11" i="11"/>
  <c r="AF11" i="11"/>
  <c r="AE11" i="11"/>
  <c r="AD11" i="11"/>
  <c r="AC11" i="11"/>
  <c r="AB11" i="11"/>
  <c r="AA11" i="11"/>
  <c r="Z11" i="11"/>
  <c r="Y11" i="11"/>
  <c r="X11" i="11"/>
  <c r="W11" i="11"/>
  <c r="V11" i="11"/>
  <c r="U11" i="11"/>
  <c r="T11" i="11"/>
  <c r="S11" i="11"/>
  <c r="R11" i="11"/>
  <c r="Q11" i="11"/>
  <c r="P11" i="11"/>
  <c r="O11" i="11"/>
  <c r="N11" i="11"/>
  <c r="M11" i="11"/>
  <c r="L11" i="11"/>
  <c r="K11" i="11"/>
  <c r="J11" i="11"/>
  <c r="H11" i="11"/>
  <c r="E11" i="11"/>
  <c r="D11" i="11"/>
  <c r="C11" i="11"/>
  <c r="B11" i="11"/>
  <c r="A21" i="11"/>
  <c r="A16" i="11"/>
  <c r="A11" i="11"/>
  <c r="AI6" i="11"/>
  <c r="AI26" i="11" s="1"/>
  <c r="AH6" i="11"/>
  <c r="AH26" i="11" s="1"/>
  <c r="AG6" i="11"/>
  <c r="AG26" i="11" s="1"/>
  <c r="AF6" i="11"/>
  <c r="AF26" i="11" s="1"/>
  <c r="AE6" i="11"/>
  <c r="AE26" i="11" s="1"/>
  <c r="AD6" i="11"/>
  <c r="AD26" i="11" s="1"/>
  <c r="AC6" i="11"/>
  <c r="AC26" i="11" s="1"/>
  <c r="AB6" i="11"/>
  <c r="AB26" i="11" s="1"/>
  <c r="AA6" i="11"/>
  <c r="AA26" i="11" s="1"/>
  <c r="Z6" i="11"/>
  <c r="Z26" i="11" s="1"/>
  <c r="Y6" i="11"/>
  <c r="Y26" i="11" s="1"/>
  <c r="X6" i="11"/>
  <c r="X26" i="11" s="1"/>
  <c r="W6" i="11"/>
  <c r="W26" i="11" s="1"/>
  <c r="V6" i="11"/>
  <c r="V26" i="11" s="1"/>
  <c r="U6" i="11"/>
  <c r="U26" i="11" s="1"/>
  <c r="T6" i="11"/>
  <c r="T26" i="11" s="1"/>
  <c r="S6" i="11"/>
  <c r="S26" i="11" s="1"/>
  <c r="R6" i="11"/>
  <c r="R26" i="11" s="1"/>
  <c r="Q6" i="11"/>
  <c r="P6" i="11"/>
  <c r="O6" i="11"/>
  <c r="N6" i="11"/>
  <c r="M6" i="11"/>
  <c r="L6" i="11"/>
  <c r="K6" i="11"/>
  <c r="J6" i="11"/>
  <c r="H6" i="11"/>
  <c r="E6" i="11"/>
  <c r="E26" i="11" s="1"/>
  <c r="C6" i="11"/>
  <c r="B6" i="11"/>
  <c r="A6" i="11"/>
  <c r="T425" i="1" a="1"/>
  <c r="T425" i="1" s="1"/>
  <c r="Q426" i="1"/>
  <c r="Q432" i="1" s="1"/>
  <c r="T427" i="1" a="1"/>
  <c r="T427" i="1" s="1"/>
  <c r="AJ79" i="7"/>
  <c r="AI79" i="7"/>
  <c r="AH79" i="7"/>
  <c r="AG79" i="7"/>
  <c r="AF79" i="7"/>
  <c r="AE79" i="7"/>
  <c r="AD79" i="7"/>
  <c r="AC79" i="7"/>
  <c r="AB79" i="7"/>
  <c r="AA79" i="7"/>
  <c r="Z79" i="7"/>
  <c r="X79" i="7"/>
  <c r="W79" i="7"/>
  <c r="T79" i="7"/>
  <c r="S79" i="7"/>
  <c r="R79" i="7"/>
  <c r="P79" i="7"/>
  <c r="O79" i="7"/>
  <c r="N79" i="7"/>
  <c r="M79" i="7"/>
  <c r="L79" i="7"/>
  <c r="K79" i="7"/>
  <c r="J79" i="7"/>
  <c r="H79" i="7"/>
  <c r="G79" i="7"/>
  <c r="F79" i="7"/>
  <c r="E79" i="7"/>
  <c r="D79" i="7"/>
  <c r="C79" i="7"/>
  <c r="B79" i="7"/>
  <c r="A79" i="7"/>
  <c r="AJ35" i="7"/>
  <c r="AI35" i="7"/>
  <c r="AH35" i="7"/>
  <c r="AG35" i="7"/>
  <c r="AF35" i="7"/>
  <c r="AE35" i="7"/>
  <c r="AD35" i="7"/>
  <c r="AC35" i="7"/>
  <c r="AB35" i="7"/>
  <c r="AA35" i="7"/>
  <c r="Z35" i="7"/>
  <c r="X35" i="7"/>
  <c r="W35" i="7"/>
  <c r="T35" i="7"/>
  <c r="S35" i="7"/>
  <c r="R35" i="7"/>
  <c r="P35" i="7"/>
  <c r="O35" i="7"/>
  <c r="N35" i="7"/>
  <c r="M35" i="7"/>
  <c r="L35" i="7"/>
  <c r="K35" i="7"/>
  <c r="J35" i="7"/>
  <c r="H35" i="7"/>
  <c r="E35" i="7"/>
  <c r="D35" i="7"/>
  <c r="C35" i="7"/>
  <c r="B35" i="7"/>
  <c r="A35" i="7"/>
  <c r="AJ21" i="7"/>
  <c r="AI21" i="7"/>
  <c r="AH21" i="7"/>
  <c r="AG21" i="7"/>
  <c r="AF21" i="7"/>
  <c r="AE21" i="7"/>
  <c r="AA21" i="7"/>
  <c r="Z21" i="7"/>
  <c r="X21" i="7"/>
  <c r="W21" i="7"/>
  <c r="V21" i="7"/>
  <c r="U21" i="7"/>
  <c r="T21" i="7"/>
  <c r="S21" i="7"/>
  <c r="R21" i="7"/>
  <c r="Q21" i="7"/>
  <c r="P21" i="7"/>
  <c r="O21" i="7"/>
  <c r="N21" i="7"/>
  <c r="M21" i="7"/>
  <c r="L21" i="7"/>
  <c r="H21" i="7"/>
  <c r="G21" i="7"/>
  <c r="F21" i="7"/>
  <c r="E21" i="7"/>
  <c r="D21" i="7"/>
  <c r="C21" i="7"/>
  <c r="B21" i="7"/>
  <c r="A21" i="7"/>
  <c r="N16" i="7"/>
  <c r="M16" i="7"/>
  <c r="L16" i="7"/>
  <c r="K16" i="7"/>
  <c r="J16" i="7"/>
  <c r="H16" i="7"/>
  <c r="G16" i="7"/>
  <c r="F16" i="7"/>
  <c r="E16" i="7"/>
  <c r="D16" i="7"/>
  <c r="B16" i="7"/>
  <c r="A16" i="7"/>
  <c r="N10" i="7"/>
  <c r="O10" i="7"/>
  <c r="AJ10" i="7"/>
  <c r="AI10" i="7"/>
  <c r="AH10" i="7"/>
  <c r="AG10" i="7"/>
  <c r="AF10" i="7"/>
  <c r="AE10" i="7"/>
  <c r="AD10" i="7"/>
  <c r="AC10" i="7"/>
  <c r="AB10" i="7"/>
  <c r="AA10" i="7"/>
  <c r="Z10" i="7"/>
  <c r="X10" i="7"/>
  <c r="W10" i="7"/>
  <c r="V10" i="7"/>
  <c r="U10" i="7"/>
  <c r="T10" i="7"/>
  <c r="S10" i="7"/>
  <c r="R10" i="7"/>
  <c r="P10" i="7"/>
  <c r="M10" i="7"/>
  <c r="L10" i="7"/>
  <c r="K10" i="7"/>
  <c r="J10" i="7"/>
  <c r="H10" i="7"/>
  <c r="G10" i="7"/>
  <c r="F10" i="7"/>
  <c r="E10" i="7"/>
  <c r="D10" i="7"/>
  <c r="C10" i="7"/>
  <c r="B10" i="7"/>
  <c r="A10" i="7"/>
  <c r="J588" i="1"/>
  <c r="J43" i="7" s="1"/>
  <c r="AN571" i="1"/>
  <c r="AN310" i="1"/>
  <c r="AN605" i="1"/>
  <c r="AR310" i="1"/>
  <c r="AR605" i="1"/>
  <c r="AR612" i="1"/>
  <c r="AR571" i="1"/>
  <c r="AR59" i="7" s="1"/>
  <c r="AQ310" i="1"/>
  <c r="AQ605" i="1"/>
  <c r="AQ612" i="1"/>
  <c r="AP310" i="1"/>
  <c r="AP605" i="1"/>
  <c r="AP612" i="1"/>
  <c r="AP571" i="1"/>
  <c r="AO310" i="1"/>
  <c r="AO605" i="1"/>
  <c r="AO612" i="1"/>
  <c r="AO571" i="1"/>
  <c r="AN612" i="1"/>
  <c r="T59" i="7"/>
  <c r="T612" i="1" a="1"/>
  <c r="T612" i="1" s="1"/>
  <c r="T32" i="7" s="1"/>
  <c r="AR531" i="1"/>
  <c r="AR28" i="7" s="1"/>
  <c r="AR30" i="7" s="1"/>
  <c r="AQ531" i="1"/>
  <c r="AP531" i="1"/>
  <c r="AO531" i="1"/>
  <c r="AN531" i="1"/>
  <c r="AR614" i="1"/>
  <c r="AQ614" i="1"/>
  <c r="AP614" i="1"/>
  <c r="AO614" i="1"/>
  <c r="AN614" i="1"/>
  <c r="T614" i="1" a="1"/>
  <c r="T614" i="1" s="1"/>
  <c r="J541" i="1"/>
  <c r="T434" i="1" a="1"/>
  <c r="T434" i="1" s="1"/>
  <c r="AR377" i="1"/>
  <c r="AO20" i="11" s="1"/>
  <c r="AQ377" i="1"/>
  <c r="AN20" i="11" s="1"/>
  <c r="AP377" i="1"/>
  <c r="AM20" i="11" s="1"/>
  <c r="AO377" i="1"/>
  <c r="AL20" i="11" s="1"/>
  <c r="AN377" i="1"/>
  <c r="AK20" i="11" s="1"/>
  <c r="AR554" i="1"/>
  <c r="AQ554" i="1"/>
  <c r="AP554" i="1"/>
  <c r="AO554" i="1"/>
  <c r="AN554" i="1"/>
  <c r="AR560" i="1"/>
  <c r="AQ560" i="1"/>
  <c r="AP560" i="1"/>
  <c r="AO560" i="1"/>
  <c r="AN560" i="1"/>
  <c r="AI20" i="11"/>
  <c r="AH20" i="11"/>
  <c r="AG20" i="11"/>
  <c r="AF20" i="11"/>
  <c r="AE20" i="11"/>
  <c r="AD20" i="11"/>
  <c r="AC20" i="11"/>
  <c r="AB20" i="11"/>
  <c r="AA20" i="11"/>
  <c r="Z20" i="11"/>
  <c r="Y20" i="11"/>
  <c r="Y29" i="11" s="1"/>
  <c r="X20" i="11"/>
  <c r="W20" i="11"/>
  <c r="V20" i="11"/>
  <c r="U20" i="11"/>
  <c r="T20" i="11"/>
  <c r="S20" i="11"/>
  <c r="R20" i="11"/>
  <c r="Q20" i="11"/>
  <c r="P20" i="11"/>
  <c r="O20" i="11"/>
  <c r="N20" i="11"/>
  <c r="M20" i="11"/>
  <c r="L20" i="11"/>
  <c r="K20" i="11"/>
  <c r="J20" i="11"/>
  <c r="H20" i="11"/>
  <c r="AI15" i="11"/>
  <c r="AH15" i="11"/>
  <c r="AG15" i="11"/>
  <c r="AF15" i="11"/>
  <c r="AE15" i="11"/>
  <c r="AD15" i="11"/>
  <c r="AC15" i="11"/>
  <c r="AB15" i="11"/>
  <c r="AA15" i="11"/>
  <c r="Z15" i="11"/>
  <c r="Y15" i="11"/>
  <c r="X15" i="11"/>
  <c r="W15" i="11"/>
  <c r="V15" i="11"/>
  <c r="U15" i="11"/>
  <c r="S15" i="11"/>
  <c r="R15" i="11"/>
  <c r="Q15" i="11"/>
  <c r="P15" i="11"/>
  <c r="P28" i="11" s="1"/>
  <c r="O15" i="11"/>
  <c r="N15" i="11"/>
  <c r="M15" i="11"/>
  <c r="L15" i="11"/>
  <c r="K15" i="11"/>
  <c r="J15" i="11"/>
  <c r="J10" i="11"/>
  <c r="H15" i="11"/>
  <c r="AI10" i="11"/>
  <c r="AH10" i="11"/>
  <c r="AG10" i="11"/>
  <c r="AF10" i="11"/>
  <c r="AE10" i="11"/>
  <c r="AD10" i="11"/>
  <c r="AC10" i="11"/>
  <c r="AB10" i="11"/>
  <c r="AA10" i="11"/>
  <c r="AA27" i="11" s="1"/>
  <c r="Z10" i="11"/>
  <c r="Y10" i="11"/>
  <c r="X10" i="11"/>
  <c r="W10" i="11"/>
  <c r="V10" i="11"/>
  <c r="U10" i="11"/>
  <c r="S10" i="11"/>
  <c r="R10" i="11"/>
  <c r="Q10" i="11"/>
  <c r="P10" i="11"/>
  <c r="O10" i="11"/>
  <c r="N10" i="11"/>
  <c r="M10" i="11"/>
  <c r="L10" i="11"/>
  <c r="K10" i="11"/>
  <c r="H10" i="11"/>
  <c r="E20" i="11"/>
  <c r="E15" i="11"/>
  <c r="E10" i="11"/>
  <c r="C20" i="11"/>
  <c r="B20" i="11"/>
  <c r="C15" i="11"/>
  <c r="B15" i="11"/>
  <c r="C10" i="11"/>
  <c r="B10" i="11"/>
  <c r="A20" i="11"/>
  <c r="A15" i="11"/>
  <c r="A10" i="11"/>
  <c r="D20" i="11"/>
  <c r="D15" i="11"/>
  <c r="D10" i="11"/>
  <c r="I5" i="11"/>
  <c r="J5" i="11"/>
  <c r="N5" i="11"/>
  <c r="O5" i="11"/>
  <c r="P5" i="11"/>
  <c r="Q5" i="11"/>
  <c r="R5" i="11"/>
  <c r="S5" i="11"/>
  <c r="T5" i="11"/>
  <c r="U5" i="11"/>
  <c r="V5" i="11"/>
  <c r="W5" i="11"/>
  <c r="X5" i="11"/>
  <c r="Y5" i="11"/>
  <c r="Z5" i="11"/>
  <c r="AA5" i="11"/>
  <c r="AB5" i="11"/>
  <c r="AC5" i="11"/>
  <c r="AD5" i="11"/>
  <c r="AE5" i="11"/>
  <c r="AF5" i="11"/>
  <c r="AG5" i="11"/>
  <c r="AH5" i="11"/>
  <c r="AI5" i="11"/>
  <c r="AK5" i="11"/>
  <c r="AL5" i="11"/>
  <c r="AM5" i="11"/>
  <c r="AN5" i="11"/>
  <c r="AO5" i="11"/>
  <c r="B4" i="11"/>
  <c r="C4" i="11"/>
  <c r="D4" i="11"/>
  <c r="E4" i="11"/>
  <c r="F4" i="11"/>
  <c r="G4" i="11"/>
  <c r="H4" i="11"/>
  <c r="I4" i="11"/>
  <c r="J4" i="11"/>
  <c r="K4" i="11"/>
  <c r="L4" i="11"/>
  <c r="M4" i="11"/>
  <c r="N4" i="11"/>
  <c r="O4" i="11"/>
  <c r="P4" i="11"/>
  <c r="Q4" i="11"/>
  <c r="R4" i="11"/>
  <c r="S4" i="11"/>
  <c r="T4" i="11"/>
  <c r="U4" i="11"/>
  <c r="V4" i="11"/>
  <c r="W4" i="11"/>
  <c r="X4" i="11"/>
  <c r="Y4" i="11"/>
  <c r="Z4" i="11"/>
  <c r="AA4" i="11"/>
  <c r="AB4" i="11"/>
  <c r="AC4" i="11"/>
  <c r="AD4" i="11"/>
  <c r="AE4" i="11"/>
  <c r="AF4" i="11"/>
  <c r="AG4" i="11"/>
  <c r="AH4" i="11"/>
  <c r="AI4" i="11"/>
  <c r="AK4" i="11"/>
  <c r="AL4" i="11"/>
  <c r="AM4" i="11"/>
  <c r="AN4" i="11"/>
  <c r="AO4" i="11"/>
  <c r="A4" i="11"/>
  <c r="A2" i="11"/>
  <c r="A1" i="11"/>
  <c r="K59" i="7"/>
  <c r="H59" i="7"/>
  <c r="B59" i="7"/>
  <c r="K42" i="7"/>
  <c r="H42" i="7"/>
  <c r="E42" i="7"/>
  <c r="B42" i="7"/>
  <c r="AJ34" i="7"/>
  <c r="AI34" i="7"/>
  <c r="AH34" i="7"/>
  <c r="AG34" i="7"/>
  <c r="AF34" i="7"/>
  <c r="AE34" i="7"/>
  <c r="AD34" i="7"/>
  <c r="AC34" i="7"/>
  <c r="AB34" i="7"/>
  <c r="AA34" i="7"/>
  <c r="Z34" i="7"/>
  <c r="X34" i="7"/>
  <c r="W34" i="7"/>
  <c r="S34" i="7"/>
  <c r="R34" i="7"/>
  <c r="Q34" i="7"/>
  <c r="P34" i="7"/>
  <c r="O34" i="7"/>
  <c r="N34" i="7"/>
  <c r="M34" i="7"/>
  <c r="L34" i="7"/>
  <c r="K34" i="7"/>
  <c r="J34" i="7"/>
  <c r="H34" i="7"/>
  <c r="E34" i="7"/>
  <c r="D34" i="7"/>
  <c r="B34" i="7"/>
  <c r="AJ32" i="7"/>
  <c r="AI32" i="7"/>
  <c r="AH32" i="7"/>
  <c r="AG32" i="7"/>
  <c r="AF32" i="7"/>
  <c r="AE32" i="7"/>
  <c r="AD32" i="7"/>
  <c r="AC32" i="7"/>
  <c r="AB32" i="7"/>
  <c r="AA32" i="7"/>
  <c r="Z32" i="7"/>
  <c r="X32" i="7"/>
  <c r="W32" i="7"/>
  <c r="V32" i="7"/>
  <c r="U32" i="7"/>
  <c r="S32" i="7"/>
  <c r="R32" i="7"/>
  <c r="Q32" i="7"/>
  <c r="P32" i="7"/>
  <c r="O32" i="7"/>
  <c r="N32" i="7"/>
  <c r="M32" i="7"/>
  <c r="L32" i="7"/>
  <c r="K32" i="7"/>
  <c r="J32" i="7"/>
  <c r="H32" i="7"/>
  <c r="E32" i="7"/>
  <c r="D32" i="7"/>
  <c r="C32" i="7"/>
  <c r="B32" i="7"/>
  <c r="AJ15" i="7"/>
  <c r="AJ19" i="7" s="1"/>
  <c r="AI15" i="7"/>
  <c r="AH15" i="7"/>
  <c r="AH19" i="7" s="1"/>
  <c r="AG15" i="7"/>
  <c r="AG19" i="7" s="1"/>
  <c r="AF15" i="7"/>
  <c r="AF19" i="7" s="1"/>
  <c r="AE15" i="7"/>
  <c r="AE19" i="7" s="1"/>
  <c r="AD15" i="7"/>
  <c r="AD19" i="7" s="1"/>
  <c r="AC15" i="7"/>
  <c r="AC19" i="7" s="1"/>
  <c r="AB15" i="7"/>
  <c r="AB19" i="7" s="1"/>
  <c r="AA15" i="7"/>
  <c r="AA19" i="7" s="1"/>
  <c r="Z15" i="7"/>
  <c r="Z19" i="7" s="1"/>
  <c r="X15" i="7"/>
  <c r="X19" i="7" s="1"/>
  <c r="W15" i="7"/>
  <c r="W19" i="7" s="1"/>
  <c r="V15" i="7"/>
  <c r="U15" i="7"/>
  <c r="U19" i="7" s="1"/>
  <c r="S15" i="7"/>
  <c r="R15" i="7"/>
  <c r="R19" i="7" s="1"/>
  <c r="Q15" i="7"/>
  <c r="P15" i="7"/>
  <c r="O15" i="7"/>
  <c r="O19" i="7" s="1"/>
  <c r="N15" i="7"/>
  <c r="M15" i="7"/>
  <c r="L15" i="7"/>
  <c r="K15" i="7"/>
  <c r="J15" i="7"/>
  <c r="H15" i="7"/>
  <c r="G15" i="7"/>
  <c r="F15" i="7"/>
  <c r="E15" i="7"/>
  <c r="D15" i="7"/>
  <c r="B15" i="7"/>
  <c r="A59" i="7"/>
  <c r="A42" i="7"/>
  <c r="A34" i="7"/>
  <c r="A32" i="7"/>
  <c r="A15" i="7"/>
  <c r="AJ78" i="7"/>
  <c r="AI78" i="7"/>
  <c r="AH78" i="7"/>
  <c r="AG78" i="7"/>
  <c r="AF78" i="7"/>
  <c r="AE78" i="7"/>
  <c r="AD78" i="7"/>
  <c r="AC78" i="7"/>
  <c r="AB78" i="7"/>
  <c r="AA78" i="7"/>
  <c r="Z78" i="7"/>
  <c r="X78" i="7"/>
  <c r="W78" i="7"/>
  <c r="S78" i="7"/>
  <c r="R78" i="7"/>
  <c r="Q78" i="7"/>
  <c r="P78" i="7"/>
  <c r="O78" i="7"/>
  <c r="N78" i="7"/>
  <c r="M78" i="7"/>
  <c r="L78" i="7"/>
  <c r="K78" i="7"/>
  <c r="J78" i="7"/>
  <c r="H78" i="7"/>
  <c r="G78" i="7"/>
  <c r="F78" i="7"/>
  <c r="E78" i="7"/>
  <c r="D78" i="7"/>
  <c r="C78" i="7"/>
  <c r="B78" i="7"/>
  <c r="A78" i="7"/>
  <c r="AJ28" i="7"/>
  <c r="AI28" i="7"/>
  <c r="AH28" i="7"/>
  <c r="AG28" i="7"/>
  <c r="AF28" i="7"/>
  <c r="AE28" i="7"/>
  <c r="AD28" i="7"/>
  <c r="AC28" i="7"/>
  <c r="AB28" i="7"/>
  <c r="AA28" i="7"/>
  <c r="Z28" i="7"/>
  <c r="X28" i="7"/>
  <c r="W28" i="7"/>
  <c r="V28" i="7"/>
  <c r="U28" i="7"/>
  <c r="S28" i="7"/>
  <c r="R28" i="7"/>
  <c r="Q28" i="7"/>
  <c r="P28" i="7"/>
  <c r="O28" i="7"/>
  <c r="N28" i="7"/>
  <c r="M28" i="7"/>
  <c r="L28" i="7"/>
  <c r="K28" i="7"/>
  <c r="J28" i="7"/>
  <c r="H28" i="7"/>
  <c r="G28" i="7"/>
  <c r="F28" i="7"/>
  <c r="E28" i="7"/>
  <c r="D28" i="7"/>
  <c r="C28" i="7"/>
  <c r="B28" i="7"/>
  <c r="A28" i="7"/>
  <c r="AJ9" i="7"/>
  <c r="AI9" i="7"/>
  <c r="AH9" i="7"/>
  <c r="AG9" i="7"/>
  <c r="AF9" i="7"/>
  <c r="AE9" i="7"/>
  <c r="AD9" i="7"/>
  <c r="AC9" i="7"/>
  <c r="AB9" i="7"/>
  <c r="AA9" i="7"/>
  <c r="X9" i="7"/>
  <c r="W9" i="7"/>
  <c r="V9" i="7"/>
  <c r="U9" i="7"/>
  <c r="S9" i="7"/>
  <c r="R9" i="7"/>
  <c r="Q9" i="7" s="1"/>
  <c r="P9" i="7"/>
  <c r="O9" i="7"/>
  <c r="N9" i="7"/>
  <c r="M9" i="7"/>
  <c r="L9" i="7"/>
  <c r="K9" i="7"/>
  <c r="H9" i="7"/>
  <c r="G9" i="7"/>
  <c r="F9" i="7"/>
  <c r="E9" i="7"/>
  <c r="D9" i="7"/>
  <c r="C9" i="7"/>
  <c r="B9" i="7"/>
  <c r="A9" i="7"/>
  <c r="AR434" i="1"/>
  <c r="AR175" i="15" s="1"/>
  <c r="AQ434" i="1"/>
  <c r="AQ175" i="15" s="1"/>
  <c r="AP434" i="1"/>
  <c r="AP175" i="15" s="1"/>
  <c r="AO434" i="1"/>
  <c r="AO175" i="15" s="1"/>
  <c r="AN434" i="1"/>
  <c r="AN175" i="15" s="1"/>
  <c r="AR427" i="1"/>
  <c r="AQ427" i="1"/>
  <c r="AP427" i="1"/>
  <c r="AO427" i="1"/>
  <c r="AN427" i="1"/>
  <c r="AR140" i="1"/>
  <c r="AQ140" i="1"/>
  <c r="AP140" i="1"/>
  <c r="AO140" i="1"/>
  <c r="AN140" i="1"/>
  <c r="T332" i="1" a="1"/>
  <c r="T332" i="1" s="1"/>
  <c r="T285" i="1" a="1"/>
  <c r="T285" i="1" s="1"/>
  <c r="T277" i="1" a="1"/>
  <c r="T277" i="1" s="1"/>
  <c r="T256" i="1" a="1"/>
  <c r="T256" i="1" s="1"/>
  <c r="T175" i="1" a="1"/>
  <c r="T175" i="1" s="1"/>
  <c r="T161" i="1" a="1"/>
  <c r="T161" i="1" s="1"/>
  <c r="T109" i="1" a="1"/>
  <c r="T109" i="1" s="1"/>
  <c r="T88" i="1" a="1"/>
  <c r="T88" i="1" s="1"/>
  <c r="T79" i="1" a="1"/>
  <c r="T79" i="1" s="1"/>
  <c r="T45" i="1" a="1"/>
  <c r="T45" i="1" s="1"/>
  <c r="I427" i="1"/>
  <c r="AA102" i="7"/>
  <c r="AA101" i="7"/>
  <c r="AA100" i="7"/>
  <c r="AA99" i="7"/>
  <c r="AA98" i="7"/>
  <c r="AA97" i="7"/>
  <c r="AA96" i="7"/>
  <c r="AA95" i="7"/>
  <c r="AA94" i="7"/>
  <c r="AA93" i="7"/>
  <c r="AA92" i="7"/>
  <c r="AA91" i="7"/>
  <c r="AA90" i="7"/>
  <c r="AA89" i="7"/>
  <c r="AA88" i="7"/>
  <c r="AA87" i="7"/>
  <c r="AA86" i="7"/>
  <c r="W102" i="7"/>
  <c r="W101" i="7"/>
  <c r="W100" i="7"/>
  <c r="W99" i="7"/>
  <c r="W98" i="7"/>
  <c r="W97" i="7"/>
  <c r="W96" i="7"/>
  <c r="W95" i="7"/>
  <c r="W94" i="7"/>
  <c r="W93" i="7"/>
  <c r="W92" i="7"/>
  <c r="W91" i="7"/>
  <c r="W90" i="7"/>
  <c r="W89" i="7"/>
  <c r="W88" i="7"/>
  <c r="W87" i="7"/>
  <c r="W86" i="7"/>
  <c r="Z101" i="7"/>
  <c r="Z102" i="7"/>
  <c r="Z99" i="7"/>
  <c r="Z98" i="7"/>
  <c r="Z97" i="7"/>
  <c r="Z96" i="7"/>
  <c r="Z95" i="7"/>
  <c r="Z94" i="7"/>
  <c r="Z93" i="7"/>
  <c r="Z92" i="7"/>
  <c r="Z91" i="7"/>
  <c r="Z90" i="7"/>
  <c r="Z89" i="7"/>
  <c r="Z88" i="7"/>
  <c r="Z87" i="7"/>
  <c r="Z86" i="7"/>
  <c r="S7" i="7"/>
  <c r="T344" i="1" a="1"/>
  <c r="T344" i="1" s="1"/>
  <c r="T345" i="1" a="1"/>
  <c r="T345" i="1" s="1"/>
  <c r="T346" i="1" a="1"/>
  <c r="T346" i="1" s="1"/>
  <c r="T348" i="1" a="1"/>
  <c r="T348" i="1" s="1"/>
  <c r="T349" i="1" a="1"/>
  <c r="T349" i="1" s="1"/>
  <c r="T351" i="1" a="1"/>
  <c r="T351" i="1" s="1"/>
  <c r="T352" i="1" a="1"/>
  <c r="T352" i="1" s="1"/>
  <c r="T353" i="1" a="1"/>
  <c r="T353" i="1" s="1"/>
  <c r="T354" i="1" a="1"/>
  <c r="T354" i="1" s="1"/>
  <c r="AU8" i="1"/>
  <c r="AV8" i="1"/>
  <c r="T116" i="1"/>
  <c r="T117" i="1"/>
  <c r="T118" i="1"/>
  <c r="T119" i="1"/>
  <c r="T120" i="1"/>
  <c r="T121" i="1"/>
  <c r="T122" i="1"/>
  <c r="T123" i="1"/>
  <c r="T124" i="1"/>
  <c r="T125" i="1"/>
  <c r="T126" i="1"/>
  <c r="T127" i="1"/>
  <c r="T128" i="1"/>
  <c r="T129" i="1"/>
  <c r="T130" i="1"/>
  <c r="T131" i="1"/>
  <c r="T132" i="1"/>
  <c r="T133" i="1"/>
  <c r="T134" i="1"/>
  <c r="T135" i="1"/>
  <c r="T136" i="1"/>
  <c r="T137" i="1"/>
  <c r="AN344" i="1"/>
  <c r="AO344" i="1"/>
  <c r="AP344" i="1"/>
  <c r="AQ344" i="1"/>
  <c r="AR344" i="1"/>
  <c r="AN345" i="1"/>
  <c r="AO345" i="1"/>
  <c r="AP345" i="1"/>
  <c r="AQ345" i="1"/>
  <c r="AR345" i="1"/>
  <c r="AN346" i="1"/>
  <c r="AO346" i="1"/>
  <c r="AP346" i="1"/>
  <c r="AQ346" i="1"/>
  <c r="AR346" i="1"/>
  <c r="AN348" i="1"/>
  <c r="AO348" i="1"/>
  <c r="AP348" i="1"/>
  <c r="AQ348" i="1"/>
  <c r="AR348" i="1"/>
  <c r="AN349" i="1"/>
  <c r="AO349" i="1"/>
  <c r="AP349" i="1"/>
  <c r="AQ349" i="1"/>
  <c r="AR349" i="1"/>
  <c r="AN351" i="1"/>
  <c r="AO351" i="1"/>
  <c r="AP351" i="1"/>
  <c r="AQ351" i="1"/>
  <c r="AR351" i="1"/>
  <c r="AN352" i="1"/>
  <c r="AO352" i="1"/>
  <c r="AP352" i="1"/>
  <c r="AQ352" i="1"/>
  <c r="AR352" i="1"/>
  <c r="AN353" i="1"/>
  <c r="AO353" i="1"/>
  <c r="AP353" i="1"/>
  <c r="AQ353" i="1"/>
  <c r="AR353" i="1"/>
  <c r="AN354" i="1"/>
  <c r="AO354" i="1"/>
  <c r="AP354" i="1"/>
  <c r="AQ354" i="1"/>
  <c r="AR354" i="1"/>
  <c r="I234" i="1"/>
  <c r="I235" i="1" s="1"/>
  <c r="I173" i="1"/>
  <c r="I171" i="1"/>
  <c r="I198" i="1" s="1"/>
  <c r="I199" i="1" s="1"/>
  <c r="AR5" i="7"/>
  <c r="AQ5" i="7"/>
  <c r="AP5" i="7"/>
  <c r="AO5" i="7"/>
  <c r="AN5" i="7"/>
  <c r="AJ5" i="7"/>
  <c r="AI5" i="7"/>
  <c r="AH5" i="7"/>
  <c r="AG5" i="7"/>
  <c r="AF5" i="7"/>
  <c r="AE5" i="7"/>
  <c r="AD5" i="7"/>
  <c r="AC5" i="7"/>
  <c r="AB5" i="7"/>
  <c r="AA5" i="7"/>
  <c r="Z5" i="7"/>
  <c r="X5" i="7"/>
  <c r="W5" i="7"/>
  <c r="V5" i="7"/>
  <c r="U5" i="7"/>
  <c r="T5" i="7"/>
  <c r="S5" i="7"/>
  <c r="R5" i="7"/>
  <c r="Q5" i="7"/>
  <c r="P5" i="7"/>
  <c r="O5" i="7"/>
  <c r="N5" i="7"/>
  <c r="J5" i="7"/>
  <c r="AR4" i="7"/>
  <c r="AQ4" i="7"/>
  <c r="AP4" i="7"/>
  <c r="AO4" i="7"/>
  <c r="AN4" i="7"/>
  <c r="AJ4" i="7"/>
  <c r="AI4" i="7"/>
  <c r="AH4" i="7"/>
  <c r="AG4" i="7"/>
  <c r="AF4" i="7"/>
  <c r="AE4" i="7"/>
  <c r="AD4" i="7"/>
  <c r="AC4" i="7"/>
  <c r="AB4" i="7"/>
  <c r="AA4" i="7"/>
  <c r="Z4" i="7"/>
  <c r="X4" i="7"/>
  <c r="W4" i="7"/>
  <c r="V4" i="7"/>
  <c r="U4" i="7"/>
  <c r="T4" i="7"/>
  <c r="S4" i="7"/>
  <c r="R4" i="7"/>
  <c r="Q4" i="7"/>
  <c r="P4" i="7"/>
  <c r="O4" i="7"/>
  <c r="N4" i="7"/>
  <c r="M4" i="7"/>
  <c r="L4" i="7"/>
  <c r="K4" i="7"/>
  <c r="J4" i="7"/>
  <c r="I4" i="7"/>
  <c r="H4" i="7"/>
  <c r="G4" i="7"/>
  <c r="F4" i="7"/>
  <c r="E4" i="7"/>
  <c r="C4" i="7"/>
  <c r="B4" i="7"/>
  <c r="AJ77" i="7"/>
  <c r="AI77" i="7"/>
  <c r="AH77" i="7"/>
  <c r="AG77" i="7"/>
  <c r="AF77" i="7"/>
  <c r="AE77" i="7"/>
  <c r="AD77" i="7"/>
  <c r="AC77" i="7"/>
  <c r="AA77" i="7"/>
  <c r="Z77" i="7"/>
  <c r="X77" i="7"/>
  <c r="W77" i="7"/>
  <c r="V77" i="7"/>
  <c r="U77" i="7"/>
  <c r="S77" i="7"/>
  <c r="R77" i="7"/>
  <c r="Q77" i="7"/>
  <c r="P77" i="7"/>
  <c r="O77" i="7"/>
  <c r="N77" i="7"/>
  <c r="M77" i="7"/>
  <c r="L77" i="7"/>
  <c r="K77" i="7"/>
  <c r="J77" i="7"/>
  <c r="H77" i="7"/>
  <c r="G77" i="7"/>
  <c r="F77" i="7"/>
  <c r="E77" i="7"/>
  <c r="C77" i="7"/>
  <c r="B77" i="7"/>
  <c r="AJ76" i="7"/>
  <c r="AI76" i="7"/>
  <c r="AH76" i="7"/>
  <c r="AG76" i="7"/>
  <c r="AF76" i="7"/>
  <c r="AE76" i="7"/>
  <c r="AD76" i="7"/>
  <c r="AC76" i="7"/>
  <c r="AB76" i="7"/>
  <c r="AA76" i="7"/>
  <c r="Z76" i="7"/>
  <c r="X76" i="7"/>
  <c r="W76" i="7"/>
  <c r="V76" i="7"/>
  <c r="U76" i="7"/>
  <c r="S76" i="7"/>
  <c r="R76" i="7"/>
  <c r="Q76" i="7"/>
  <c r="P76" i="7"/>
  <c r="O76" i="7"/>
  <c r="N76" i="7"/>
  <c r="M76" i="7"/>
  <c r="L76" i="7"/>
  <c r="K76" i="7"/>
  <c r="J76" i="7"/>
  <c r="H76" i="7"/>
  <c r="G76" i="7"/>
  <c r="F76" i="7"/>
  <c r="E76" i="7"/>
  <c r="C76" i="7"/>
  <c r="B76" i="7"/>
  <c r="AJ27" i="7"/>
  <c r="AI27" i="7"/>
  <c r="AH27" i="7"/>
  <c r="AG27" i="7"/>
  <c r="AF27" i="7"/>
  <c r="AE27" i="7"/>
  <c r="AD27" i="7"/>
  <c r="AC27" i="7"/>
  <c r="AA27" i="7"/>
  <c r="Z27" i="7"/>
  <c r="X27" i="7"/>
  <c r="W27" i="7"/>
  <c r="V27" i="7"/>
  <c r="U27" i="7"/>
  <c r="S27" i="7"/>
  <c r="R27" i="7"/>
  <c r="Q27" i="7"/>
  <c r="P27" i="7"/>
  <c r="O27" i="7"/>
  <c r="N27" i="7"/>
  <c r="M27" i="7"/>
  <c r="L27" i="7"/>
  <c r="K27" i="7"/>
  <c r="J27" i="7"/>
  <c r="H27" i="7"/>
  <c r="G27" i="7"/>
  <c r="F27" i="7"/>
  <c r="E27" i="7"/>
  <c r="C27" i="7"/>
  <c r="B27" i="7"/>
  <c r="AJ26" i="7"/>
  <c r="AI26" i="7"/>
  <c r="AH26" i="7"/>
  <c r="AG26" i="7"/>
  <c r="AF26" i="7"/>
  <c r="AE26" i="7"/>
  <c r="AD26" i="7"/>
  <c r="AC26" i="7"/>
  <c r="AB26" i="7"/>
  <c r="AA26" i="7"/>
  <c r="Z26" i="7"/>
  <c r="X26" i="7"/>
  <c r="W26" i="7"/>
  <c r="V26" i="7"/>
  <c r="U26" i="7"/>
  <c r="S26" i="7"/>
  <c r="R26" i="7"/>
  <c r="Q26" i="7"/>
  <c r="P26" i="7"/>
  <c r="O26" i="7"/>
  <c r="N26" i="7"/>
  <c r="M26" i="7"/>
  <c r="L26" i="7"/>
  <c r="K26" i="7"/>
  <c r="J26" i="7"/>
  <c r="H26" i="7"/>
  <c r="G26" i="7"/>
  <c r="F26" i="7"/>
  <c r="E26" i="7"/>
  <c r="C26" i="7"/>
  <c r="B26" i="7"/>
  <c r="AJ8" i="7"/>
  <c r="AI8" i="7"/>
  <c r="AH8" i="7"/>
  <c r="AG8" i="7"/>
  <c r="AF8" i="7"/>
  <c r="AE8" i="7"/>
  <c r="AD8" i="7"/>
  <c r="AC8" i="7"/>
  <c r="AA8" i="7"/>
  <c r="X8" i="7"/>
  <c r="W8" i="7"/>
  <c r="V8" i="7"/>
  <c r="U8" i="7"/>
  <c r="S8" i="7"/>
  <c r="R8" i="7"/>
  <c r="Q8" i="7"/>
  <c r="P8" i="7"/>
  <c r="O8" i="7"/>
  <c r="N8" i="7"/>
  <c r="M8" i="7"/>
  <c r="L8" i="7"/>
  <c r="K8" i="7"/>
  <c r="J8" i="7"/>
  <c r="H8" i="7"/>
  <c r="G8" i="7"/>
  <c r="F8" i="7"/>
  <c r="E8" i="7"/>
  <c r="C8" i="7"/>
  <c r="B8" i="7"/>
  <c r="AJ7" i="7"/>
  <c r="AI7" i="7"/>
  <c r="AH7" i="7"/>
  <c r="AG7" i="7"/>
  <c r="AF7" i="7"/>
  <c r="AE7" i="7"/>
  <c r="AD7" i="7"/>
  <c r="AC7" i="7"/>
  <c r="AB7" i="7"/>
  <c r="AA7" i="7"/>
  <c r="X7" i="7"/>
  <c r="W7" i="7"/>
  <c r="V7" i="7"/>
  <c r="U7" i="7"/>
  <c r="R7" i="7"/>
  <c r="Q7" i="7"/>
  <c r="P7" i="7"/>
  <c r="O7" i="7"/>
  <c r="N7" i="7"/>
  <c r="M7" i="7"/>
  <c r="L7" i="7"/>
  <c r="K7" i="7"/>
  <c r="J7" i="7"/>
  <c r="H7" i="7"/>
  <c r="G7" i="7"/>
  <c r="F7" i="7"/>
  <c r="E7" i="7"/>
  <c r="C7" i="7"/>
  <c r="B7" i="7"/>
  <c r="A77" i="7"/>
  <c r="A76" i="7"/>
  <c r="A27" i="7"/>
  <c r="A8" i="7"/>
  <c r="A26" i="7"/>
  <c r="A7" i="7"/>
  <c r="A4" i="7"/>
  <c r="A2" i="7"/>
  <c r="A1" i="7"/>
  <c r="L549" i="1"/>
  <c r="Q548" i="1"/>
  <c r="J549" i="1"/>
  <c r="J548" i="1"/>
  <c r="AR546" i="1"/>
  <c r="AQ546" i="1"/>
  <c r="AP546" i="1"/>
  <c r="AO546" i="1"/>
  <c r="AN546" i="1"/>
  <c r="AQ540" i="1"/>
  <c r="AQ8" i="7" s="1"/>
  <c r="AP540" i="1"/>
  <c r="AP8" i="7" s="1"/>
  <c r="AO540" i="1"/>
  <c r="AO8" i="7" s="1"/>
  <c r="AN540" i="1"/>
  <c r="AN8" i="7" s="1"/>
  <c r="AR539" i="1"/>
  <c r="AR7" i="7" s="1"/>
  <c r="AQ539" i="1"/>
  <c r="AQ7" i="7" s="1"/>
  <c r="AP539" i="1"/>
  <c r="AP7" i="7" s="1"/>
  <c r="AO539" i="1"/>
  <c r="AO7" i="7" s="1"/>
  <c r="AN539" i="1"/>
  <c r="AN7" i="7" s="1"/>
  <c r="AQ426" i="1"/>
  <c r="AP426" i="1"/>
  <c r="AO426" i="1"/>
  <c r="AN426" i="1"/>
  <c r="AR394" i="1"/>
  <c r="AQ394" i="1"/>
  <c r="AP394" i="1"/>
  <c r="AO394" i="1"/>
  <c r="AN394" i="1"/>
  <c r="AQ376" i="1"/>
  <c r="AP376" i="1"/>
  <c r="AO376" i="1"/>
  <c r="AN376" i="1"/>
  <c r="AR375" i="1"/>
  <c r="AQ375" i="1"/>
  <c r="AP375" i="1"/>
  <c r="AO375" i="1"/>
  <c r="AN375" i="1"/>
  <c r="AR331" i="1"/>
  <c r="AQ331" i="1"/>
  <c r="AP331" i="1"/>
  <c r="AO331" i="1"/>
  <c r="AN331" i="1"/>
  <c r="AR330" i="1"/>
  <c r="AQ330" i="1"/>
  <c r="AP330" i="1"/>
  <c r="AO330" i="1"/>
  <c r="AN330" i="1"/>
  <c r="AQ309" i="1"/>
  <c r="AQ77" i="7" s="1"/>
  <c r="AP309" i="1"/>
  <c r="AP77" i="7" s="1"/>
  <c r="AO309" i="1"/>
  <c r="AN309" i="1"/>
  <c r="AN77" i="7" s="1"/>
  <c r="AR308" i="1"/>
  <c r="AQ308" i="1"/>
  <c r="AP308" i="1"/>
  <c r="AO308" i="1"/>
  <c r="AN308" i="1"/>
  <c r="AR284" i="1"/>
  <c r="AQ284" i="1"/>
  <c r="AP284" i="1"/>
  <c r="AO284" i="1"/>
  <c r="AN284" i="1"/>
  <c r="AR276" i="1"/>
  <c r="AQ276" i="1"/>
  <c r="AP276" i="1"/>
  <c r="AO276" i="1"/>
  <c r="AN276" i="1"/>
  <c r="AR255" i="1"/>
  <c r="AQ255" i="1"/>
  <c r="AP255" i="1"/>
  <c r="AO255" i="1"/>
  <c r="AN255" i="1"/>
  <c r="AR235" i="1"/>
  <c r="AQ235" i="1"/>
  <c r="AP235" i="1"/>
  <c r="AO235" i="1"/>
  <c r="AN235" i="1"/>
  <c r="AR199" i="1"/>
  <c r="AQ199" i="1"/>
  <c r="AP199" i="1"/>
  <c r="AO199" i="1"/>
  <c r="AN199" i="1"/>
  <c r="AR160" i="1"/>
  <c r="AQ160" i="1"/>
  <c r="AP160" i="1"/>
  <c r="AO160" i="1"/>
  <c r="AN160" i="1"/>
  <c r="AQ139" i="1"/>
  <c r="AP139" i="1"/>
  <c r="AO139" i="1"/>
  <c r="AN139" i="1"/>
  <c r="AR108" i="1"/>
  <c r="AQ108" i="1"/>
  <c r="AP108" i="1"/>
  <c r="AO108" i="1"/>
  <c r="AR87" i="1"/>
  <c r="AQ87" i="1"/>
  <c r="AP87" i="1"/>
  <c r="AO87" i="1"/>
  <c r="AN87" i="1"/>
  <c r="AR78" i="1"/>
  <c r="AQ78" i="1"/>
  <c r="AP78" i="1"/>
  <c r="AO78" i="1"/>
  <c r="AR61" i="1"/>
  <c r="AQ61" i="1"/>
  <c r="AP61" i="1"/>
  <c r="AO61" i="1"/>
  <c r="AN61" i="1"/>
  <c r="AR60" i="1"/>
  <c r="AQ60" i="1"/>
  <c r="AP60" i="1"/>
  <c r="AO60" i="1"/>
  <c r="AN60" i="1"/>
  <c r="AR57" i="1"/>
  <c r="AQ57" i="1"/>
  <c r="AP57" i="1"/>
  <c r="AO57" i="1"/>
  <c r="AN57" i="1"/>
  <c r="AR52" i="1"/>
  <c r="AQ52" i="1"/>
  <c r="AP52" i="1"/>
  <c r="AO52" i="1"/>
  <c r="AN52" i="1"/>
  <c r="AR44" i="1"/>
  <c r="AQ44" i="1"/>
  <c r="AP44" i="1"/>
  <c r="AO44" i="1"/>
  <c r="AN44" i="1"/>
  <c r="AR40" i="1"/>
  <c r="AQ40" i="1"/>
  <c r="AP40" i="1"/>
  <c r="AO40" i="1"/>
  <c r="AN40" i="1"/>
  <c r="AR17" i="1"/>
  <c r="AQ17" i="1"/>
  <c r="AP17" i="1"/>
  <c r="AO17" i="1"/>
  <c r="AN17" i="1"/>
  <c r="AR13" i="1"/>
  <c r="AQ13" i="1"/>
  <c r="AP13" i="1"/>
  <c r="AP14" i="1" s="1"/>
  <c r="AO13" i="1"/>
  <c r="AN13" i="1"/>
  <c r="T61" i="1" a="1"/>
  <c r="T61" i="1" s="1"/>
  <c r="T8" i="7"/>
  <c r="T7" i="7"/>
  <c r="T27" i="7"/>
  <c r="T26" i="7"/>
  <c r="T330" i="1" a="1"/>
  <c r="T330" i="1" s="1"/>
  <c r="T309" i="1" a="1"/>
  <c r="T309" i="1" s="1"/>
  <c r="T308" i="1" a="1"/>
  <c r="T308" i="1" s="1"/>
  <c r="T284" i="1" a="1"/>
  <c r="T284" i="1" s="1"/>
  <c r="T276" i="1" a="1"/>
  <c r="T276" i="1" s="1"/>
  <c r="T255" i="1" a="1"/>
  <c r="T255" i="1" s="1"/>
  <c r="T254" i="1" a="1"/>
  <c r="T254" i="1" s="1"/>
  <c r="T160" i="1" a="1"/>
  <c r="T160" i="1" s="1"/>
  <c r="T108" i="1" a="1"/>
  <c r="T108" i="1" s="1"/>
  <c r="T87" i="1" a="1"/>
  <c r="T87" i="1" s="1"/>
  <c r="T78" i="1" a="1"/>
  <c r="T78" i="1" s="1"/>
  <c r="T57" i="1" a="1"/>
  <c r="T57" i="1" s="1"/>
  <c r="T56" i="1" a="1"/>
  <c r="T56" i="1" s="1"/>
  <c r="T44" i="1" a="1"/>
  <c r="T44" i="1" s="1"/>
  <c r="T40" i="1" a="1"/>
  <c r="T40" i="1" s="1"/>
  <c r="T39" i="1" a="1"/>
  <c r="T39" i="1" s="1"/>
  <c r="T35" i="1" a="1"/>
  <c r="T35" i="1" s="1"/>
  <c r="T34" i="1" a="1"/>
  <c r="T34" i="1" s="1"/>
  <c r="T30" i="1" a="1"/>
  <c r="T30" i="1" s="1"/>
  <c r="T29" i="1" a="1"/>
  <c r="T29" i="1" s="1"/>
  <c r="T26" i="1" a="1"/>
  <c r="T26" i="1" s="1"/>
  <c r="T25" i="1" a="1"/>
  <c r="T25" i="1" s="1"/>
  <c r="T20" i="1" a="1"/>
  <c r="T20" i="1" s="1"/>
  <c r="T17" i="1" a="1"/>
  <c r="T17" i="1" s="1"/>
  <c r="T13" i="1" a="1"/>
  <c r="T13" i="1" s="1"/>
  <c r="T12" i="1" a="1"/>
  <c r="T12" i="1" s="1"/>
  <c r="T9" i="1" a="1"/>
  <c r="T9" i="1" s="1"/>
  <c r="Q394" i="1"/>
  <c r="Q331" i="1"/>
  <c r="Q336" i="1" s="1"/>
  <c r="X138" i="1"/>
  <c r="AN393" i="1"/>
  <c r="AR393" i="1"/>
  <c r="AQ393" i="1"/>
  <c r="AP393" i="1"/>
  <c r="AP548" i="1" s="1"/>
  <c r="AO393" i="1"/>
  <c r="AN198" i="1"/>
  <c r="AQ138" i="1"/>
  <c r="AU20" i="1"/>
  <c r="AV20" i="1"/>
  <c r="AR283" i="1"/>
  <c r="AR275" i="1"/>
  <c r="AR254" i="1"/>
  <c r="AR234" i="1"/>
  <c r="AR198" i="1"/>
  <c r="AR56" i="1"/>
  <c r="AR51" i="1"/>
  <c r="AR39" i="1"/>
  <c r="AR16" i="1"/>
  <c r="AR12" i="1"/>
  <c r="AQ283" i="1"/>
  <c r="AQ275" i="1"/>
  <c r="AQ254" i="1"/>
  <c r="AQ234" i="1"/>
  <c r="AQ198" i="1"/>
  <c r="AQ56" i="1"/>
  <c r="AQ39" i="1"/>
  <c r="AQ16" i="1"/>
  <c r="AQ12" i="1"/>
  <c r="AP283" i="1"/>
  <c r="AP275" i="1"/>
  <c r="AP254" i="1"/>
  <c r="AP234" i="1"/>
  <c r="AP198" i="1"/>
  <c r="AP56" i="1"/>
  <c r="AP51" i="1"/>
  <c r="AP39" i="1"/>
  <c r="AP16" i="1"/>
  <c r="AN283" i="1"/>
  <c r="AN275" i="1"/>
  <c r="AN254" i="1"/>
  <c r="AN234" i="1"/>
  <c r="AN56" i="1"/>
  <c r="AN51" i="1"/>
  <c r="AN39" i="1"/>
  <c r="AN16" i="1"/>
  <c r="AN12" i="1"/>
  <c r="AO283" i="1"/>
  <c r="AO275" i="1"/>
  <c r="AO254" i="1"/>
  <c r="AO234" i="1"/>
  <c r="AO198" i="1"/>
  <c r="AO56" i="1"/>
  <c r="AO51" i="1"/>
  <c r="AO39" i="1"/>
  <c r="AO16" i="1"/>
  <c r="AO12" i="1"/>
  <c r="AR425" i="1"/>
  <c r="AQ425" i="1"/>
  <c r="AO425" i="1"/>
  <c r="AN425" i="1"/>
  <c r="AV171" i="1"/>
  <c r="AU171" i="1"/>
  <c r="AV529" i="1"/>
  <c r="AU529" i="1"/>
  <c r="AV12" i="1"/>
  <c r="AU12" i="1"/>
  <c r="AV16" i="1"/>
  <c r="AU16" i="1"/>
  <c r="AV39" i="1"/>
  <c r="AU39" i="1"/>
  <c r="AV51" i="1"/>
  <c r="AU51" i="1"/>
  <c r="AV56" i="1"/>
  <c r="AU56" i="1"/>
  <c r="AV60" i="1"/>
  <c r="AU60" i="1"/>
  <c r="AV138" i="1"/>
  <c r="AU138" i="1"/>
  <c r="AV198" i="1"/>
  <c r="AU198" i="1"/>
  <c r="AV234" i="1"/>
  <c r="AU234" i="1"/>
  <c r="AV25" i="1"/>
  <c r="AU25" i="1"/>
  <c r="AV29" i="1"/>
  <c r="AU29" i="1"/>
  <c r="AV34" i="1"/>
  <c r="AU34" i="1"/>
  <c r="AV43" i="1"/>
  <c r="AU43" i="1"/>
  <c r="AV77" i="1"/>
  <c r="AU77" i="1"/>
  <c r="AV86" i="1"/>
  <c r="AU86" i="1"/>
  <c r="AV107" i="1"/>
  <c r="AU107" i="1"/>
  <c r="AV159" i="1"/>
  <c r="AU159" i="1"/>
  <c r="AV539" i="1"/>
  <c r="AU539" i="1"/>
  <c r="AV254" i="1"/>
  <c r="AU254" i="1"/>
  <c r="AV275" i="1"/>
  <c r="AU275" i="1"/>
  <c r="AV283" i="1"/>
  <c r="AU283" i="1"/>
  <c r="AV308" i="1"/>
  <c r="AU308" i="1"/>
  <c r="AV330" i="1"/>
  <c r="AU330" i="1"/>
  <c r="AV375" i="1"/>
  <c r="AU375" i="1"/>
  <c r="AV393" i="1"/>
  <c r="AU393" i="1"/>
  <c r="AV425" i="1"/>
  <c r="AU425" i="1"/>
  <c r="I138" i="1"/>
  <c r="Q171" i="1"/>
  <c r="J171" i="1"/>
  <c r="J185" i="1" s="1"/>
  <c r="Q16" i="1"/>
  <c r="Q43" i="1"/>
  <c r="Q49" i="1" s="1"/>
  <c r="J43" i="1"/>
  <c r="Q77" i="1"/>
  <c r="Q83" i="1" s="1"/>
  <c r="J77" i="1"/>
  <c r="Q86" i="1"/>
  <c r="Q92" i="1" s="1"/>
  <c r="J86" i="1"/>
  <c r="J92" i="1" s="1"/>
  <c r="Q107" i="1"/>
  <c r="Q113" i="1" s="1"/>
  <c r="J107" i="1"/>
  <c r="Q159" i="1"/>
  <c r="Q167" i="1" s="1"/>
  <c r="J159" i="1"/>
  <c r="J167" i="1" s="1"/>
  <c r="AO138" i="1"/>
  <c r="AR138" i="1"/>
  <c r="AN138" i="1"/>
  <c r="AP138" i="1"/>
  <c r="W29" i="11" l="1"/>
  <c r="AG28" i="11"/>
  <c r="AH28" i="11"/>
  <c r="J26" i="11"/>
  <c r="AI28" i="11"/>
  <c r="Z27" i="11"/>
  <c r="Y27" i="11"/>
  <c r="AK29" i="11"/>
  <c r="Z29" i="11"/>
  <c r="AO236" i="1"/>
  <c r="AA29" i="11"/>
  <c r="X27" i="11"/>
  <c r="AB27" i="11"/>
  <c r="AC27" i="11"/>
  <c r="M28" i="11"/>
  <c r="Q28" i="11"/>
  <c r="R28" i="11"/>
  <c r="AD29" i="11"/>
  <c r="AE29" i="11"/>
  <c r="S28" i="11"/>
  <c r="U28" i="11"/>
  <c r="V28" i="11"/>
  <c r="AI29" i="11"/>
  <c r="AB29" i="11"/>
  <c r="AD27" i="11"/>
  <c r="AF27" i="11"/>
  <c r="AG27" i="11"/>
  <c r="L28" i="11"/>
  <c r="J29" i="11"/>
  <c r="W27" i="11"/>
  <c r="AC29" i="11"/>
  <c r="M29" i="11"/>
  <c r="AE27" i="11"/>
  <c r="X28" i="11"/>
  <c r="Y28" i="11"/>
  <c r="L29" i="11"/>
  <c r="AG29" i="11"/>
  <c r="P29" i="11"/>
  <c r="Z28" i="11"/>
  <c r="AH27" i="11"/>
  <c r="AA28" i="11"/>
  <c r="W28" i="11"/>
  <c r="AI27" i="11"/>
  <c r="N29" i="11"/>
  <c r="AF29" i="11"/>
  <c r="AH29" i="11"/>
  <c r="O29" i="11"/>
  <c r="AR236" i="1"/>
  <c r="X29" i="11"/>
  <c r="R27" i="11"/>
  <c r="AC28" i="11"/>
  <c r="S29" i="11"/>
  <c r="M26" i="11"/>
  <c r="N26" i="11"/>
  <c r="N28" i="11"/>
  <c r="O26" i="11"/>
  <c r="O28" i="11"/>
  <c r="Q26" i="11"/>
  <c r="AM29" i="11"/>
  <c r="AN29" i="11"/>
  <c r="AO29" i="11"/>
  <c r="N27" i="11"/>
  <c r="O27" i="11"/>
  <c r="Q27" i="11"/>
  <c r="AB28" i="11"/>
  <c r="J27" i="11"/>
  <c r="U27" i="11"/>
  <c r="J28" i="11"/>
  <c r="AE28" i="11"/>
  <c r="U29" i="11"/>
  <c r="P26" i="11"/>
  <c r="AL29" i="11"/>
  <c r="L27" i="11"/>
  <c r="M27" i="11"/>
  <c r="P27" i="11"/>
  <c r="Q29" i="11"/>
  <c r="R29" i="11"/>
  <c r="S27" i="11"/>
  <c r="AD28" i="11"/>
  <c r="T29" i="11"/>
  <c r="V27" i="11"/>
  <c r="AF28" i="11"/>
  <c r="V29" i="11"/>
  <c r="L26" i="11"/>
  <c r="AP236" i="1"/>
  <c r="AQ236" i="1"/>
  <c r="J57" i="7"/>
  <c r="AS77" i="1"/>
  <c r="AS83" i="1" s="1"/>
  <c r="J83" i="1"/>
  <c r="AN236" i="1"/>
  <c r="AN381" i="1"/>
  <c r="AO381" i="1"/>
  <c r="AP381" i="1"/>
  <c r="AQ381" i="1"/>
  <c r="AR381" i="1"/>
  <c r="Q185" i="1"/>
  <c r="T138" i="1" a="1"/>
  <c r="T138" i="1" s="1"/>
  <c r="AN18" i="1"/>
  <c r="T171" i="1" a="1"/>
  <c r="T171" i="1" s="1"/>
  <c r="AS84" i="7"/>
  <c r="AS107" i="1"/>
  <c r="AS113" i="1" s="1"/>
  <c r="AP107" i="1"/>
  <c r="AN14" i="1"/>
  <c r="AQ41" i="1"/>
  <c r="AR96" i="15"/>
  <c r="AQ96" i="15"/>
  <c r="AO96" i="15"/>
  <c r="AP96" i="15"/>
  <c r="AN96" i="15"/>
  <c r="AR41" i="1"/>
  <c r="AQ18" i="1"/>
  <c r="K84" i="7"/>
  <c r="AG84" i="7"/>
  <c r="AP262" i="1"/>
  <c r="AG40" i="7"/>
  <c r="AO14" i="1"/>
  <c r="AN262" i="1"/>
  <c r="AQ262" i="1"/>
  <c r="AR262" i="1"/>
  <c r="T262" i="1"/>
  <c r="AO262" i="1"/>
  <c r="AR14" i="1"/>
  <c r="AQ14" i="1"/>
  <c r="AQ53" i="1"/>
  <c r="T58" i="1"/>
  <c r="L84" i="7"/>
  <c r="AH84" i="7"/>
  <c r="AQ58" i="1"/>
  <c r="M84" i="7"/>
  <c r="AI84" i="7"/>
  <c r="AN41" i="1"/>
  <c r="AN53" i="1"/>
  <c r="AS43" i="1"/>
  <c r="J49" i="1"/>
  <c r="AN58" i="1"/>
  <c r="T16" i="1" a="1"/>
  <c r="T16" i="1" s="1"/>
  <c r="Q18" i="1"/>
  <c r="AN62" i="1"/>
  <c r="AR18" i="1"/>
  <c r="AQ62" i="1"/>
  <c r="AR53" i="1"/>
  <c r="AR62" i="1"/>
  <c r="AO41" i="1"/>
  <c r="AR58" i="1"/>
  <c r="AO53" i="1"/>
  <c r="AO58" i="1"/>
  <c r="AP53" i="1"/>
  <c r="AO62" i="1"/>
  <c r="AO18" i="1"/>
  <c r="AP58" i="1"/>
  <c r="T14" i="1"/>
  <c r="AP18" i="1"/>
  <c r="T27" i="1"/>
  <c r="T36" i="1"/>
  <c r="AP41" i="1"/>
  <c r="T41" i="1"/>
  <c r="AP62" i="1"/>
  <c r="T62" i="1"/>
  <c r="J84" i="7"/>
  <c r="AF84" i="7"/>
  <c r="N84" i="7"/>
  <c r="AJ84" i="7"/>
  <c r="O84" i="7"/>
  <c r="P84" i="7"/>
  <c r="R84" i="7"/>
  <c r="AN164" i="15"/>
  <c r="S84" i="7"/>
  <c r="X84" i="7"/>
  <c r="Z84" i="7"/>
  <c r="AA84" i="7"/>
  <c r="AB84" i="7"/>
  <c r="M40" i="7"/>
  <c r="AC84" i="7"/>
  <c r="AD84" i="7"/>
  <c r="AE84" i="7"/>
  <c r="AN183" i="15"/>
  <c r="AS171" i="1"/>
  <c r="J40" i="7"/>
  <c r="AF40" i="7"/>
  <c r="AE40" i="7"/>
  <c r="AH40" i="7"/>
  <c r="S40" i="7"/>
  <c r="AI40" i="7"/>
  <c r="U40" i="7"/>
  <c r="V40" i="7"/>
  <c r="L40" i="7"/>
  <c r="AO316" i="1"/>
  <c r="AR316" i="1"/>
  <c r="AN316" i="1"/>
  <c r="AP316" i="1"/>
  <c r="AQ316" i="1"/>
  <c r="X40" i="7"/>
  <c r="T316" i="1"/>
  <c r="AD40" i="7"/>
  <c r="AJ40" i="7"/>
  <c r="AA40" i="7"/>
  <c r="N40" i="7"/>
  <c r="W40" i="7"/>
  <c r="R40" i="7"/>
  <c r="O40" i="7"/>
  <c r="P40" i="7"/>
  <c r="Z40" i="7"/>
  <c r="AB40" i="7"/>
  <c r="AC40" i="7"/>
  <c r="AR21" i="7"/>
  <c r="J23" i="7"/>
  <c r="AO281" i="1"/>
  <c r="AQ22" i="7"/>
  <c r="AP281" i="1"/>
  <c r="AP22" i="7"/>
  <c r="AP116" i="15"/>
  <c r="AQ116" i="15"/>
  <c r="AR116" i="15"/>
  <c r="AO116" i="15"/>
  <c r="Q399" i="1"/>
  <c r="T394" i="1" a="1"/>
  <c r="T394" i="1" s="1"/>
  <c r="AN116" i="15"/>
  <c r="AL10" i="11"/>
  <c r="AL27" i="11" s="1"/>
  <c r="AO564" i="1"/>
  <c r="T15" i="11"/>
  <c r="T558" i="1"/>
  <c r="AM10" i="11"/>
  <c r="AM27" i="11" s="1"/>
  <c r="AP564" i="1"/>
  <c r="AK6" i="11"/>
  <c r="AK26" i="11" s="1"/>
  <c r="AN569" i="1"/>
  <c r="AO15" i="11"/>
  <c r="AO28" i="11" s="1"/>
  <c r="AR558" i="1"/>
  <c r="AK10" i="11"/>
  <c r="AK27" i="11" s="1"/>
  <c r="AN564" i="1"/>
  <c r="T10" i="11"/>
  <c r="T564" i="1"/>
  <c r="AN10" i="11"/>
  <c r="AN27" i="11" s="1"/>
  <c r="AQ564" i="1"/>
  <c r="AO10" i="11"/>
  <c r="AO27" i="11" s="1"/>
  <c r="AR564" i="1"/>
  <c r="AL6" i="11"/>
  <c r="AO569" i="1"/>
  <c r="AK15" i="11"/>
  <c r="AK28" i="11" s="1"/>
  <c r="AN558" i="1"/>
  <c r="AN6" i="11"/>
  <c r="AQ569" i="1"/>
  <c r="AN15" i="11"/>
  <c r="AN28" i="11" s="1"/>
  <c r="AQ558" i="1"/>
  <c r="AM6" i="11"/>
  <c r="AP569" i="1"/>
  <c r="AL15" i="11"/>
  <c r="AL28" i="11" s="1"/>
  <c r="AO558" i="1"/>
  <c r="AM15" i="11"/>
  <c r="AM28" i="11" s="1"/>
  <c r="AP558" i="1"/>
  <c r="AO6" i="11"/>
  <c r="AR569" i="1"/>
  <c r="N19" i="7"/>
  <c r="Q19" i="7"/>
  <c r="P19" i="7"/>
  <c r="M19" i="7"/>
  <c r="S19" i="7"/>
  <c r="J19" i="7"/>
  <c r="L19" i="7"/>
  <c r="AN146" i="15"/>
  <c r="T131" i="15"/>
  <c r="AP131" i="15"/>
  <c r="AR131" i="15"/>
  <c r="AO131" i="15"/>
  <c r="AQ164" i="15"/>
  <c r="AQ131" i="15"/>
  <c r="AQ146" i="15"/>
  <c r="AO146" i="15"/>
  <c r="AR164" i="15"/>
  <c r="AO164" i="15"/>
  <c r="AP164" i="15"/>
  <c r="AR146" i="15"/>
  <c r="T64" i="15"/>
  <c r="AO46" i="15"/>
  <c r="AR46" i="15"/>
  <c r="AN46" i="15"/>
  <c r="AP46" i="15"/>
  <c r="T46" i="15"/>
  <c r="AQ46" i="15"/>
  <c r="AP64" i="15"/>
  <c r="AN64" i="15"/>
  <c r="AO64" i="15"/>
  <c r="AQ64" i="15"/>
  <c r="AR64" i="15"/>
  <c r="AP183" i="15"/>
  <c r="AO183" i="15"/>
  <c r="AQ183" i="15"/>
  <c r="AR183" i="15"/>
  <c r="T74" i="7"/>
  <c r="AO22" i="7"/>
  <c r="AQ281" i="1"/>
  <c r="AN281" i="1"/>
  <c r="L550" i="1"/>
  <c r="AR281" i="1"/>
  <c r="T281" i="1"/>
  <c r="T381" i="1"/>
  <c r="Z548" i="1"/>
  <c r="AP549" i="1"/>
  <c r="Z549" i="1" s="1"/>
  <c r="AP432" i="1"/>
  <c r="K74" i="7"/>
  <c r="K57" i="7"/>
  <c r="AR74" i="7"/>
  <c r="AQ59" i="7"/>
  <c r="AP59" i="7"/>
  <c r="T42" i="7"/>
  <c r="AN59" i="7"/>
  <c r="AQ60" i="7"/>
  <c r="AO59" i="7"/>
  <c r="AS86" i="1"/>
  <c r="AS92" i="1" s="1"/>
  <c r="AQ541" i="1"/>
  <c r="AQ9" i="7" s="1"/>
  <c r="AS541" i="1"/>
  <c r="AS159" i="1"/>
  <c r="AS167" i="1" s="1"/>
  <c r="AS588" i="1"/>
  <c r="AO588" i="1"/>
  <c r="AO43" i="7" s="1"/>
  <c r="AN588" i="1"/>
  <c r="AN43" i="7" s="1"/>
  <c r="U84" i="7"/>
  <c r="V84" i="7"/>
  <c r="W84" i="7"/>
  <c r="AQ432" i="1"/>
  <c r="AR432" i="1"/>
  <c r="AO432" i="1"/>
  <c r="AN432" i="1"/>
  <c r="T10" i="1"/>
  <c r="T175" i="15"/>
  <c r="AP76" i="7"/>
  <c r="AQ76" i="7"/>
  <c r="AR76" i="7"/>
  <c r="AN289" i="1"/>
  <c r="AR289" i="1"/>
  <c r="AP289" i="1"/>
  <c r="AO289" i="1"/>
  <c r="AN336" i="1"/>
  <c r="AQ336" i="1"/>
  <c r="AR336" i="1"/>
  <c r="AP399" i="1"/>
  <c r="T176" i="15"/>
  <c r="AO399" i="1"/>
  <c r="AQ399" i="1"/>
  <c r="AO336" i="1"/>
  <c r="AP336" i="1"/>
  <c r="AR399" i="1"/>
  <c r="AQ289" i="1"/>
  <c r="AN399" i="1"/>
  <c r="Q35" i="7"/>
  <c r="Q79" i="7"/>
  <c r="M24" i="7"/>
  <c r="R24" i="7"/>
  <c r="AE24" i="7"/>
  <c r="Z24" i="7"/>
  <c r="S24" i="7"/>
  <c r="AF24" i="7"/>
  <c r="T24" i="7"/>
  <c r="U24" i="7"/>
  <c r="AH24" i="7"/>
  <c r="AG24" i="7"/>
  <c r="V24" i="7"/>
  <c r="AI24" i="7"/>
  <c r="W24" i="7"/>
  <c r="AJ24" i="7"/>
  <c r="Q11" i="7"/>
  <c r="L24" i="7"/>
  <c r="X24" i="7"/>
  <c r="N24" i="7"/>
  <c r="AA24" i="7"/>
  <c r="O24" i="7"/>
  <c r="Q10" i="7"/>
  <c r="P24" i="7"/>
  <c r="Q24" i="7"/>
  <c r="V19" i="7"/>
  <c r="AR22" i="7"/>
  <c r="AI19" i="7"/>
  <c r="V30" i="7"/>
  <c r="AI30" i="7"/>
  <c r="J30" i="7"/>
  <c r="W30" i="7"/>
  <c r="AJ30" i="7"/>
  <c r="Z13" i="7"/>
  <c r="M30" i="7"/>
  <c r="AA30" i="7"/>
  <c r="S30" i="7"/>
  <c r="AG30" i="7"/>
  <c r="AO201" i="1"/>
  <c r="N30" i="7"/>
  <c r="AB30" i="7"/>
  <c r="O30" i="7"/>
  <c r="AC30" i="7"/>
  <c r="AR201" i="1"/>
  <c r="P30" i="7"/>
  <c r="AD30" i="7"/>
  <c r="T201" i="1"/>
  <c r="AN201" i="1"/>
  <c r="Q30" i="7"/>
  <c r="AE30" i="7"/>
  <c r="R30" i="7"/>
  <c r="AF30" i="7"/>
  <c r="AQ201" i="1"/>
  <c r="U30" i="7"/>
  <c r="AH30" i="7"/>
  <c r="AP201" i="1"/>
  <c r="X30" i="7"/>
  <c r="L30" i="7"/>
  <c r="Z30" i="7"/>
  <c r="P13" i="7"/>
  <c r="AF13" i="7"/>
  <c r="R13" i="7"/>
  <c r="AI13" i="7"/>
  <c r="V13" i="7"/>
  <c r="S13" i="7"/>
  <c r="U13" i="7"/>
  <c r="L13" i="7"/>
  <c r="AB13" i="7"/>
  <c r="M13" i="7"/>
  <c r="AC13" i="7"/>
  <c r="N13" i="7"/>
  <c r="AD13" i="7"/>
  <c r="O13" i="7"/>
  <c r="AE13" i="7"/>
  <c r="AG13" i="7"/>
  <c r="AH13" i="7"/>
  <c r="AJ13" i="7"/>
  <c r="W13" i="7"/>
  <c r="X13" i="7"/>
  <c r="AA13" i="7"/>
  <c r="J113" i="1"/>
  <c r="X144" i="1"/>
  <c r="AP144" i="1"/>
  <c r="AN144" i="1"/>
  <c r="AR144" i="1"/>
  <c r="AO144" i="1"/>
  <c r="AQ144" i="1"/>
  <c r="J550" i="1"/>
  <c r="T31" i="1"/>
  <c r="T22" i="1"/>
  <c r="AP588" i="1"/>
  <c r="AP43" i="7" s="1"/>
  <c r="AR588" i="1"/>
  <c r="AR43" i="7" s="1"/>
  <c r="AQ588" i="1"/>
  <c r="AQ43" i="7" s="1"/>
  <c r="T107" i="1" a="1"/>
  <c r="T107" i="1" s="1"/>
  <c r="AQ43" i="1"/>
  <c r="T331" i="1" a="1"/>
  <c r="T331" i="1" s="1"/>
  <c r="T86" i="1" a="1"/>
  <c r="T86" i="1" s="1"/>
  <c r="T43" i="1" a="1"/>
  <c r="T43" i="1" s="1"/>
  <c r="AR159" i="1"/>
  <c r="AQ107" i="1"/>
  <c r="AQ77" i="1"/>
  <c r="T289" i="1"/>
  <c r="Q549" i="1"/>
  <c r="Q550" i="1" s="1"/>
  <c r="AN78" i="7"/>
  <c r="AP78" i="7"/>
  <c r="AP15" i="7"/>
  <c r="AR78" i="7"/>
  <c r="AO15" i="7"/>
  <c r="AN34" i="7"/>
  <c r="AP34" i="7"/>
  <c r="AO28" i="7"/>
  <c r="AO77" i="7"/>
  <c r="AN32" i="7"/>
  <c r="AQ549" i="1"/>
  <c r="AA549" i="1" s="1"/>
  <c r="AQ34" i="7"/>
  <c r="I139" i="1"/>
  <c r="AN548" i="1"/>
  <c r="AN28" i="7"/>
  <c r="AQ78" i="7"/>
  <c r="AP21" i="7"/>
  <c r="AO32" i="7"/>
  <c r="AP32" i="7"/>
  <c r="AR548" i="1"/>
  <c r="AO76" i="7"/>
  <c r="T76" i="7"/>
  <c r="AR34" i="7"/>
  <c r="AN76" i="7"/>
  <c r="AO78" i="7"/>
  <c r="AP77" i="1"/>
  <c r="AO77" i="1"/>
  <c r="AQ32" i="7"/>
  <c r="AO107" i="1"/>
  <c r="AQ86" i="1"/>
  <c r="AQ92" i="1" s="1"/>
  <c r="AO86" i="1"/>
  <c r="AO92" i="1" s="1"/>
  <c r="AN15" i="7"/>
  <c r="AR86" i="1"/>
  <c r="AR92" i="1" s="1"/>
  <c r="AN86" i="1"/>
  <c r="AN92" i="1" s="1"/>
  <c r="AN107" i="1"/>
  <c r="AO159" i="1"/>
  <c r="AR77" i="1"/>
  <c r="AR107" i="1"/>
  <c r="AN77" i="1"/>
  <c r="AN171" i="1"/>
  <c r="AP43" i="1"/>
  <c r="AO549" i="1"/>
  <c r="W549" i="1" s="1"/>
  <c r="J9" i="7"/>
  <c r="AQ15" i="7"/>
  <c r="T426" i="1" a="1"/>
  <c r="T426" i="1" s="1"/>
  <c r="AQ28" i="7"/>
  <c r="T77" i="7"/>
  <c r="AQ548" i="1"/>
  <c r="AR15" i="7"/>
  <c r="AN549" i="1"/>
  <c r="AP86" i="1"/>
  <c r="AP92" i="1" s="1"/>
  <c r="AR32" i="7"/>
  <c r="AO34" i="7"/>
  <c r="AQ171" i="1"/>
  <c r="AN159" i="1"/>
  <c r="T159" i="1" a="1"/>
  <c r="T159" i="1" s="1"/>
  <c r="T77" i="1" a="1"/>
  <c r="T77" i="1" s="1"/>
  <c r="T15" i="7"/>
  <c r="T19" i="7" s="1"/>
  <c r="AQ159" i="1"/>
  <c r="AO43" i="1"/>
  <c r="T28" i="7"/>
  <c r="AP159" i="1"/>
  <c r="AR171" i="1"/>
  <c r="AQ21" i="7"/>
  <c r="T9" i="7"/>
  <c r="AO171" i="1"/>
  <c r="AO548" i="1"/>
  <c r="T78" i="7"/>
  <c r="T34" i="7"/>
  <c r="AR43" i="1"/>
  <c r="AN43" i="1"/>
  <c r="AP171" i="1"/>
  <c r="AR541" i="1"/>
  <c r="AN541" i="1"/>
  <c r="AO21" i="7"/>
  <c r="AO541" i="1"/>
  <c r="AP541" i="1"/>
  <c r="AP28" i="7"/>
  <c r="AL26" i="11" l="1"/>
  <c r="AO26" i="11"/>
  <c r="T27" i="11"/>
  <c r="AM26" i="11"/>
  <c r="AN26" i="11"/>
  <c r="T28" i="11"/>
  <c r="AP113" i="1"/>
  <c r="T18" i="1"/>
  <c r="T185" i="1"/>
  <c r="AO185" i="1"/>
  <c r="AS185" i="1"/>
  <c r="AN185" i="1"/>
  <c r="AP185" i="1"/>
  <c r="AR185" i="1"/>
  <c r="AQ185" i="1"/>
  <c r="AP167" i="1"/>
  <c r="AQ167" i="1"/>
  <c r="AO167" i="1"/>
  <c r="J21" i="7"/>
  <c r="AR40" i="7"/>
  <c r="AQ40" i="7"/>
  <c r="AN167" i="1"/>
  <c r="AR167" i="1"/>
  <c r="T167" i="1"/>
  <c r="T49" i="1"/>
  <c r="T92" i="1"/>
  <c r="T113" i="1"/>
  <c r="T83" i="1"/>
  <c r="AR84" i="7"/>
  <c r="AQ84" i="7"/>
  <c r="AN84" i="7"/>
  <c r="Q84" i="7"/>
  <c r="AP84" i="7"/>
  <c r="T84" i="7"/>
  <c r="AO84" i="7"/>
  <c r="AO40" i="7"/>
  <c r="T40" i="7"/>
  <c r="AP40" i="7"/>
  <c r="Q40" i="7"/>
  <c r="AN40" i="7"/>
  <c r="J22" i="7"/>
  <c r="AQ74" i="7"/>
  <c r="AQ83" i="1"/>
  <c r="AR83" i="1"/>
  <c r="AO83" i="1"/>
  <c r="AN83" i="1"/>
  <c r="AP83" i="1"/>
  <c r="S548" i="1"/>
  <c r="AN550" i="1"/>
  <c r="AP550" i="1"/>
  <c r="AO550" i="1"/>
  <c r="AB548" i="1"/>
  <c r="AB550" i="1" s="1"/>
  <c r="AR550" i="1"/>
  <c r="AQ550" i="1"/>
  <c r="T183" i="15"/>
  <c r="AP74" i="7"/>
  <c r="AP57" i="7"/>
  <c r="AR57" i="7"/>
  <c r="AO74" i="7"/>
  <c r="AN57" i="7"/>
  <c r="AO57" i="7"/>
  <c r="AQ57" i="7"/>
  <c r="T57" i="7"/>
  <c r="T549" i="1" a="1"/>
  <c r="T549" i="1" s="1"/>
  <c r="Z550" i="1"/>
  <c r="AS43" i="7"/>
  <c r="T432" i="1"/>
  <c r="AR24" i="7"/>
  <c r="Q13" i="7"/>
  <c r="AP24" i="7"/>
  <c r="AO24" i="7"/>
  <c r="AQ24" i="7"/>
  <c r="AQ19" i="7"/>
  <c r="AR19" i="7"/>
  <c r="AN19" i="7"/>
  <c r="AO19" i="7"/>
  <c r="AP19" i="7"/>
  <c r="AO30" i="7"/>
  <c r="T30" i="7"/>
  <c r="AN30" i="7"/>
  <c r="AQ30" i="7"/>
  <c r="AP30" i="7"/>
  <c r="AQ13" i="7"/>
  <c r="T13" i="7"/>
  <c r="J13" i="7"/>
  <c r="T144" i="1"/>
  <c r="AO113" i="1"/>
  <c r="AQ113" i="1"/>
  <c r="AR113" i="1"/>
  <c r="AN113" i="1"/>
  <c r="T399" i="1"/>
  <c r="T336" i="1"/>
  <c r="AA548" i="1"/>
  <c r="S549" i="1"/>
  <c r="AO9" i="7"/>
  <c r="AP9" i="7"/>
  <c r="AR9" i="7"/>
  <c r="W548" i="1"/>
  <c r="AN9" i="7"/>
  <c r="AN21" i="7" l="1"/>
  <c r="J24" i="7"/>
  <c r="T548" i="1" a="1"/>
  <c r="T548" i="1" s="1"/>
  <c r="T550" i="1" s="1"/>
  <c r="AS57" i="7"/>
  <c r="AP13" i="7"/>
  <c r="AR13" i="7"/>
  <c r="AO13" i="7"/>
  <c r="AN13" i="7"/>
  <c r="S550" i="1"/>
  <c r="W550" i="1"/>
  <c r="AA550" i="1"/>
  <c r="AS20" i="1" l="1"/>
  <c r="J22" i="1"/>
  <c r="AN21" i="1"/>
  <c r="AS21" i="1"/>
  <c r="AN24" i="7"/>
  <c r="AP21" i="1"/>
  <c r="AR21" i="1"/>
  <c r="AQ21" i="1"/>
  <c r="AO21" i="1"/>
  <c r="AR20" i="1"/>
  <c r="AN20" i="1"/>
  <c r="AO20" i="1"/>
  <c r="AP20" i="1"/>
  <c r="AQ20" i="1"/>
  <c r="AS30" i="1"/>
  <c r="AP22" i="1" l="1"/>
  <c r="AO22" i="1"/>
  <c r="AR22" i="1"/>
  <c r="AQ22" i="1"/>
  <c r="AS25" i="1"/>
  <c r="AS27" i="1" s="1"/>
  <c r="J27" i="1"/>
  <c r="AS22" i="1"/>
  <c r="AN22" i="1"/>
  <c r="AQ25" i="1"/>
  <c r="AQ27" i="1" s="1"/>
  <c r="AN25" i="1"/>
  <c r="AN27" i="1" s="1"/>
  <c r="AR25" i="1"/>
  <c r="AR27" i="1" s="1"/>
  <c r="AP25" i="1"/>
  <c r="AP27" i="1" s="1"/>
  <c r="AO25" i="1"/>
  <c r="AO27" i="1" s="1"/>
  <c r="AO30" i="1"/>
  <c r="AQ30" i="1"/>
  <c r="AR30" i="1"/>
  <c r="AN30" i="1"/>
  <c r="AP30" i="1"/>
  <c r="AS9" i="1"/>
  <c r="AS29" i="1" l="1"/>
  <c r="AS31" i="1" s="1"/>
  <c r="J31" i="1"/>
  <c r="AN29" i="1"/>
  <c r="AN31" i="1" s="1"/>
  <c r="AQ29" i="1"/>
  <c r="AQ31" i="1" s="1"/>
  <c r="AO29" i="1"/>
  <c r="AO31" i="1" s="1"/>
  <c r="AR29" i="1"/>
  <c r="AR31" i="1" s="1"/>
  <c r="AP29" i="1"/>
  <c r="AP31" i="1" s="1"/>
  <c r="AP9" i="1"/>
  <c r="AR9" i="1"/>
  <c r="AN9" i="1"/>
  <c r="AQ9" i="1"/>
  <c r="AO9" i="1"/>
  <c r="AS8" i="1" l="1"/>
  <c r="J10" i="1"/>
  <c r="AS34" i="1"/>
  <c r="AS36" i="1" s="1"/>
  <c r="J36" i="1"/>
  <c r="AN34" i="1"/>
  <c r="AN36" i="1" s="1"/>
  <c r="AR34" i="1"/>
  <c r="AR36" i="1" s="1"/>
  <c r="AP34" i="1"/>
  <c r="AP36" i="1" s="1"/>
  <c r="AQ34" i="1"/>
  <c r="AQ36" i="1" s="1"/>
  <c r="AO34" i="1"/>
  <c r="AO36" i="1" s="1"/>
  <c r="AN8" i="1"/>
  <c r="AR8" i="1"/>
  <c r="AO8" i="1"/>
  <c r="AQ8" i="1"/>
  <c r="AP8" i="1"/>
  <c r="S589" i="1"/>
  <c r="S57" i="7" s="1"/>
  <c r="W589" i="1"/>
  <c r="AB589" i="1"/>
  <c r="AA589" i="1"/>
  <c r="Z589" i="1"/>
  <c r="Z57" i="7" s="1"/>
  <c r="AP479" i="1" l="1"/>
  <c r="AP136" i="15" s="1"/>
  <c r="Z136" i="15"/>
  <c r="T136" i="15"/>
  <c r="Z146" i="15" l="1"/>
  <c r="T146" i="15"/>
  <c r="AP146" i="15"/>
  <c r="AN68" i="7" l="1"/>
  <c r="AN74"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tc={D2B5C2D7-42FD-45C3-AA89-91D3D267AF03}</author>
    <author>tc={71E80DAD-14C5-47E8-B82B-ACAF43E68906}</author>
  </authors>
  <commentList>
    <comment ref="J214" authorId="0" shapeId="0" xr:uid="{D2B5C2D7-42FD-45C3-AA89-91D3D267AF03}">
      <text>
        <t>[Threaded comment]
Your version of Excel allows you to read this threaded comment; however, any edits to it will get removed if the file is opened in a newer version of Excel. Learn more: https://go.microsoft.com/fwlink/?linkid=870924
Comment:
    V notch weir found at source. 90 degree</t>
      </text>
    </comment>
    <comment ref="J217" authorId="1" shapeId="0" xr:uid="{71E80DAD-14C5-47E8-B82B-ACAF43E68906}">
      <text>
        <t>[Threaded comment]
Your version of Excel allows you to read this threaded comment; however, any edits to it will get removed if the file is opened in a newer version of Excel. Learn more: https://go.microsoft.com/fwlink/?linkid=870924
Comment:
    New weir found 90 degree v-notch. Notch depth is 5in</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tc={6CDFCF5E-5922-4F4C-A737-B1789E840FE3}</author>
  </authors>
  <commentList>
    <comment ref="E68" authorId="0" shapeId="0" xr:uid="{6CDFCF5E-5922-4F4C-A737-B1789E840FE3}">
      <text>
        <t>[Threaded comment]
Your version of Excel allows you to read this threaded comment; however, any edits to it will get removed if the file is opened in a newer version of Excel. Learn more: https://go.microsoft.com/fwlink/?linkid=870924
Comment:
    Slightly further upstream than previous location</t>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D955BF67-9205-41FC-928F-769839276A57}" keepAlive="1" name="Query - QGIS" description="Connection to the 'QGIS' query in the workbook." type="5" refreshedVersion="8" background="1" saveData="1">
    <dbPr connection="Provider=Microsoft.Mashup.OleDb.1;Data Source=$Workbook$;Location=QGIS;Extended Properties=&quot;&quot;" command="SELECT * FROM [QGIS]"/>
  </connection>
  <connection id="2" xr16:uid="{D9E503EE-9883-4398-AFF4-36F4D0AFE939}" keepAlive="1" name="Query - Table1" description="Connection to the 'Table1' query in the workbook." type="5" refreshedVersion="8" background="1" saveData="1">
    <dbPr connection="Provider=Microsoft.Mashup.OleDb.1;Data Source=$Workbook$;Location=Table1;Extended Properties=&quot;&quot;" command="SELECT * FROM [Table1]"/>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<sst xmlns="http://schemas.openxmlformats.org/spreadsheetml/2006/main" count="5198" uniqueCount="609">
  <si>
    <t>Date</t>
  </si>
  <si>
    <t>Sequence #</t>
  </si>
  <si>
    <t>ID</t>
  </si>
  <si>
    <t>Description</t>
  </si>
  <si>
    <t>Lat</t>
  </si>
  <si>
    <t>Long</t>
  </si>
  <si>
    <t>Flow</t>
  </si>
  <si>
    <t>gpm</t>
  </si>
  <si>
    <t>pH, field</t>
  </si>
  <si>
    <t>uS/cm</t>
  </si>
  <si>
    <t>Temp</t>
  </si>
  <si>
    <t>C</t>
  </si>
  <si>
    <t>mg/L</t>
  </si>
  <si>
    <t>Alkalinity, field</t>
  </si>
  <si>
    <t>Conductivity, field</t>
  </si>
  <si>
    <t>DO</t>
  </si>
  <si>
    <t>%</t>
  </si>
  <si>
    <t>Sampler</t>
  </si>
  <si>
    <t>001</t>
  </si>
  <si>
    <t>Mouth of Penn Run</t>
  </si>
  <si>
    <t>002</t>
  </si>
  <si>
    <t>Two Lick above Penn Run</t>
  </si>
  <si>
    <t>003</t>
  </si>
  <si>
    <t>Mouth of Sample Run</t>
  </si>
  <si>
    <t>004</t>
  </si>
  <si>
    <t>S2</t>
  </si>
  <si>
    <t>Two Lick above Sample Run</t>
  </si>
  <si>
    <t>005</t>
  </si>
  <si>
    <t>Mouth of Dixon Run</t>
  </si>
  <si>
    <t>006</t>
  </si>
  <si>
    <t>S3</t>
  </si>
  <si>
    <t>Two Lick above Dixon Run</t>
  </si>
  <si>
    <t>007</t>
  </si>
  <si>
    <t>Mouth of Buck Run</t>
  </si>
  <si>
    <t>008</t>
  </si>
  <si>
    <t>S4</t>
  </si>
  <si>
    <t>Two Lick above Buck Run</t>
  </si>
  <si>
    <t>009</t>
  </si>
  <si>
    <t>T14</t>
  </si>
  <si>
    <t>Dixon run @ Dixonville</t>
  </si>
  <si>
    <t>010</t>
  </si>
  <si>
    <t>S5</t>
  </si>
  <si>
    <t>Two Lick downstream of Diamondville</t>
  </si>
  <si>
    <t>011</t>
  </si>
  <si>
    <t>S6</t>
  </si>
  <si>
    <t>Two Lick upstream of Diamondville</t>
  </si>
  <si>
    <t>012</t>
  </si>
  <si>
    <t>T6</t>
  </si>
  <si>
    <t>013</t>
  </si>
  <si>
    <t>S7</t>
  </si>
  <si>
    <t>014</t>
  </si>
  <si>
    <t>S8</t>
  </si>
  <si>
    <t>015</t>
  </si>
  <si>
    <t>T11</t>
  </si>
  <si>
    <t>UNT to Two Lick</t>
  </si>
  <si>
    <t>016</t>
  </si>
  <si>
    <t>S9</t>
  </si>
  <si>
    <t>Two Lick upstream T11</t>
  </si>
  <si>
    <t>017</t>
  </si>
  <si>
    <t>T12</t>
  </si>
  <si>
    <t>018</t>
  </si>
  <si>
    <t>S10</t>
  </si>
  <si>
    <t>Two Lick upstream T12</t>
  </si>
  <si>
    <t>019</t>
  </si>
  <si>
    <t>S11</t>
  </si>
  <si>
    <t>020</t>
  </si>
  <si>
    <t>T5</t>
  </si>
  <si>
    <t>021</t>
  </si>
  <si>
    <t>D1</t>
  </si>
  <si>
    <t>Mack mine discharge</t>
  </si>
  <si>
    <t>022</t>
  </si>
  <si>
    <t>D2</t>
  </si>
  <si>
    <t>Diamondville discharge</t>
  </si>
  <si>
    <t>023</t>
  </si>
  <si>
    <t>T7</t>
  </si>
  <si>
    <t>024</t>
  </si>
  <si>
    <t>T8</t>
  </si>
  <si>
    <t>025</t>
  </si>
  <si>
    <t>T9</t>
  </si>
  <si>
    <t>026</t>
  </si>
  <si>
    <t>T10</t>
  </si>
  <si>
    <t>Mouth Pompey Run</t>
  </si>
  <si>
    <t>027</t>
  </si>
  <si>
    <t>T13</t>
  </si>
  <si>
    <t>028</t>
  </si>
  <si>
    <t>029</t>
  </si>
  <si>
    <t>030</t>
  </si>
  <si>
    <t>T15-2</t>
  </si>
  <si>
    <t>Dixon Run at Moose Lodge</t>
  </si>
  <si>
    <t>Richards treatment system outfall</t>
  </si>
  <si>
    <t>Eckenrode</t>
  </si>
  <si>
    <t>E/M</t>
  </si>
  <si>
    <t>Tasker</t>
  </si>
  <si>
    <t>Hedin</t>
  </si>
  <si>
    <t>Sabo</t>
  </si>
  <si>
    <t>Remy</t>
  </si>
  <si>
    <t>M</t>
  </si>
  <si>
    <t>Notes</t>
  </si>
  <si>
    <t>No staining. Large fish in stream. Small trib directly above station pH 7.88 and cond. 190 and about 15 gpm</t>
  </si>
  <si>
    <t>No staining</t>
  </si>
  <si>
    <t>No staining. Turtle in stream</t>
  </si>
  <si>
    <t>No staining. Lots of caddisfly larvae under rocks.</t>
  </si>
  <si>
    <t>n/m</t>
  </si>
  <si>
    <t>Upper Two Lick Creek Watershed Assessment Growing Greener Grant to Indiana County Conservation District. Data managed by Hedin Environmental. Contact Ben Hedin (ben.hedin@hedinenv.com) with questions.</t>
  </si>
  <si>
    <t>Stagnant pool at discharge. Sample collected there. Dirty sample. Flow measured at inflow to Two Lick Creek. Seeps at creek level around creek. In stream pool downstream of Richards is tinted blue from Al. Richards is old refuse pile. Kittanning coal also outcrops in stream at this location.</t>
  </si>
  <si>
    <t>n/m = not measured</t>
  </si>
  <si>
    <t>E</t>
  </si>
  <si>
    <t>No staining.</t>
  </si>
  <si>
    <t>Flow is sum of all 3 VFPs and seep into final settling pond. Even though western settling pond leaks, assume it makes it into the creek with similar chemistry as the eastern outfall.</t>
  </si>
  <si>
    <t>T15</t>
  </si>
  <si>
    <t>Stream mile</t>
  </si>
  <si>
    <t>mile from reservoir</t>
  </si>
  <si>
    <t>Two Lick south of Starford</t>
  </si>
  <si>
    <t>Two Lick headwaters</t>
  </si>
  <si>
    <t>Latitude</t>
  </si>
  <si>
    <t>dms</t>
  </si>
  <si>
    <t>Longitude</t>
  </si>
  <si>
    <t>Dixon Run</t>
  </si>
  <si>
    <t>pH, lab</t>
  </si>
  <si>
    <t>Conductivity, lab</t>
  </si>
  <si>
    <t>Alkalinity, lab</t>
  </si>
  <si>
    <t>Net acidity, lab</t>
  </si>
  <si>
    <t>Net acidity, calc</t>
  </si>
  <si>
    <t>mg/L CaCO3</t>
  </si>
  <si>
    <t>Al</t>
  </si>
  <si>
    <t>Mn</t>
  </si>
  <si>
    <t>SO4</t>
  </si>
  <si>
    <t>Ca</t>
  </si>
  <si>
    <t>Mg</t>
  </si>
  <si>
    <t>Na</t>
  </si>
  <si>
    <t>K</t>
  </si>
  <si>
    <t>Cl</t>
  </si>
  <si>
    <t>Fe, total</t>
  </si>
  <si>
    <t>Fe+2</t>
  </si>
  <si>
    <t>Ni</t>
  </si>
  <si>
    <t>Zn</t>
  </si>
  <si>
    <t>Br</t>
  </si>
  <si>
    <t>tot.</t>
  </si>
  <si>
    <t>Acidity</t>
  </si>
  <si>
    <t>Fe</t>
  </si>
  <si>
    <t>ppd</t>
  </si>
  <si>
    <t>Sample Run</t>
  </si>
  <si>
    <t>Assume Fe and Al switched with S1</t>
  </si>
  <si>
    <t>Calculated</t>
  </si>
  <si>
    <t>Average</t>
  </si>
  <si>
    <t>KBLPEN</t>
  </si>
  <si>
    <t>KBLTL3</t>
  </si>
  <si>
    <t>KBLSAM</t>
  </si>
  <si>
    <t>KBLDIX</t>
  </si>
  <si>
    <t>KBLBUC</t>
  </si>
  <si>
    <t>040</t>
  </si>
  <si>
    <t>New Discharge</t>
  </si>
  <si>
    <t>By T7?</t>
  </si>
  <si>
    <t>Lee</t>
  </si>
  <si>
    <t>Kania</t>
  </si>
  <si>
    <t>No Fe(II) reported. Assume all Fe is Fe(II)</t>
  </si>
  <si>
    <t>Sampling location</t>
  </si>
  <si>
    <t>no data</t>
  </si>
  <si>
    <t>&lt;0.3</t>
  </si>
  <si>
    <t>&lt;0.2</t>
  </si>
  <si>
    <t>&lt;0.5</t>
  </si>
  <si>
    <t>&lt;0.05</t>
  </si>
  <si>
    <t>&lt;0.03</t>
  </si>
  <si>
    <t>Into reservoir</t>
  </si>
  <si>
    <t>Penn Run</t>
  </si>
  <si>
    <t>mile from mouth</t>
  </si>
  <si>
    <t>MP1 from IUP report</t>
  </si>
  <si>
    <t>AVG IUP data (fall 2002 to spring 2003)</t>
  </si>
  <si>
    <t>MP 6</t>
  </si>
  <si>
    <t>MP 9</t>
  </si>
  <si>
    <t>UTLC-137 from Blacklick Creek assessment</t>
  </si>
  <si>
    <t>UTLC-228 from Blacklick Creek assessment</t>
  </si>
  <si>
    <t/>
  </si>
  <si>
    <t>&lt;0.135</t>
  </si>
  <si>
    <t>&lt;0.01</t>
  </si>
  <si>
    <t>Twolick Study- PADEP</t>
  </si>
  <si>
    <t>Diamondville Remedy</t>
  </si>
  <si>
    <t>Twolick Creek - IUP</t>
  </si>
  <si>
    <t>USGS</t>
  </si>
  <si>
    <t>ICCD - Multi County</t>
  </si>
  <si>
    <t>Stream Team</t>
  </si>
  <si>
    <t>UTLC-220 from Blacklick Creek assessment</t>
  </si>
  <si>
    <t>StreamTeam</t>
  </si>
  <si>
    <t>IUP</t>
  </si>
  <si>
    <t>UTLC-222 from Blacklick Creek Assessment</t>
  </si>
  <si>
    <t>&lt;0.1</t>
  </si>
  <si>
    <t>UTLC-221 from Blacklick Creek assessment</t>
  </si>
  <si>
    <t>UTLC-132 from Blacklick Creek assessment</t>
  </si>
  <si>
    <t>UTLC-255 from Blacklick Creek assessment</t>
  </si>
  <si>
    <t>UTLC-209 from Blacklick Creek assessment</t>
  </si>
  <si>
    <t>UTLC-229 from Blacklick Creek assessment</t>
  </si>
  <si>
    <t>UTLC-134 in Blacklick Creek assessment</t>
  </si>
  <si>
    <t>BCWA Assessment-IUP</t>
  </si>
  <si>
    <t>UTLC-253 from Blacklick Creek assessment</t>
  </si>
  <si>
    <t>UTLC-104 from Blacklick Creek assessment</t>
  </si>
  <si>
    <t>UTLC-224 from Blacklick Creek assessment</t>
  </si>
  <si>
    <t>UTLC-066 from Blacklick Creek assessment</t>
  </si>
  <si>
    <t>UTLC-057 from Blacklick Creek assessment</t>
  </si>
  <si>
    <t>UTLC-051 from Blacklick Creek assessment</t>
  </si>
  <si>
    <t>UTLC-103 from Blacklick Creek assessment</t>
  </si>
  <si>
    <t>KBLSAM from DEP database</t>
  </si>
  <si>
    <t>Kiski-Conemaugh River Basin Water Monitoring</t>
  </si>
  <si>
    <t>MP15 in Penn Run TMDL</t>
  </si>
  <si>
    <t>Penn Run TMDL</t>
  </si>
  <si>
    <t>MP1</t>
  </si>
  <si>
    <t>MP7</t>
  </si>
  <si>
    <t>MP13</t>
  </si>
  <si>
    <t>MP14</t>
  </si>
  <si>
    <t>Project ID</t>
  </si>
  <si>
    <t>DEP ID #</t>
  </si>
  <si>
    <t>MP-10</t>
  </si>
  <si>
    <t>050</t>
  </si>
  <si>
    <t>Penn Run upstream TMDL</t>
  </si>
  <si>
    <t>Hedin/ ICCD</t>
  </si>
  <si>
    <t>051</t>
  </si>
  <si>
    <t>Penn2</t>
  </si>
  <si>
    <t xml:space="preserve">Penn3 </t>
  </si>
  <si>
    <t xml:space="preserve">Penn Run @ Rt 553 </t>
  </si>
  <si>
    <t>Hedin/ICCD</t>
  </si>
  <si>
    <t>N/M</t>
  </si>
  <si>
    <t>052</t>
  </si>
  <si>
    <t>Sam 2</t>
  </si>
  <si>
    <t xml:space="preserve">Refuse pile trib </t>
  </si>
  <si>
    <t>&gt;4,000</t>
  </si>
  <si>
    <t>053</t>
  </si>
  <si>
    <t>Sam3</t>
  </si>
  <si>
    <t xml:space="preserve">Sample Run upstream of Refuse pile trib </t>
  </si>
  <si>
    <t xml:space="preserve">M </t>
  </si>
  <si>
    <t>054</t>
  </si>
  <si>
    <t>Dix3</t>
  </si>
  <si>
    <t>055</t>
  </si>
  <si>
    <t xml:space="preserve">Discharge near Mears Complex </t>
  </si>
  <si>
    <t xml:space="preserve">Dix4 </t>
  </si>
  <si>
    <t>056</t>
  </si>
  <si>
    <t>Dix5</t>
  </si>
  <si>
    <t>081</t>
  </si>
  <si>
    <t>Dix5P</t>
  </si>
  <si>
    <t xml:space="preserve">pipe discharge into Dix 5 </t>
  </si>
  <si>
    <t>057</t>
  </si>
  <si>
    <t>Dix 6</t>
  </si>
  <si>
    <t>Barr Slope trib</t>
  </si>
  <si>
    <t>BCWA</t>
  </si>
  <si>
    <t>s4</t>
  </si>
  <si>
    <t>AVG</t>
  </si>
  <si>
    <t>KBLRS6</t>
  </si>
  <si>
    <t>HE/ICCD</t>
  </si>
  <si>
    <t>DixonAMD1</t>
  </si>
  <si>
    <t>DixonAMD2</t>
  </si>
  <si>
    <t>Discharge from collapsed mine entry off just east of railroad. Enters railroad ditch. Clean water enters railroad ditch just upstream of AMD.</t>
  </si>
  <si>
    <t>DixonMid</t>
  </si>
  <si>
    <t>no sample</t>
  </si>
  <si>
    <t>Field measurements only</t>
  </si>
  <si>
    <t>~500</t>
  </si>
  <si>
    <t xml:space="preserve">Refuse seepage just downstream of </t>
  </si>
  <si>
    <t>Drips from bank</t>
  </si>
  <si>
    <t>&gt;4000</t>
  </si>
  <si>
    <t>SFU</t>
  </si>
  <si>
    <t>MP14.5</t>
  </si>
  <si>
    <t>MP7 from TMDL</t>
  </si>
  <si>
    <t>MP13 from TMDL</t>
  </si>
  <si>
    <t>MP 14 from TMDL</t>
  </si>
  <si>
    <t>Trib downsteam of MP14 in TMDL. Not monitored in TMDL</t>
  </si>
  <si>
    <t>5 AMD seeps between MP1 and MP7. About pH 6 and 700 cond. Orange water. See pictures. Not sampled.</t>
  </si>
  <si>
    <t>Sam 4</t>
  </si>
  <si>
    <t>Clean trib parallel to Sample Run</t>
  </si>
  <si>
    <t>Drips from bank. Flow calculated from SO4 mass balance</t>
  </si>
  <si>
    <t>068</t>
  </si>
  <si>
    <t>069</t>
  </si>
  <si>
    <t>067</t>
  </si>
  <si>
    <t>066</t>
  </si>
  <si>
    <t>065</t>
  </si>
  <si>
    <t>062</t>
  </si>
  <si>
    <t>063</t>
  </si>
  <si>
    <t>061</t>
  </si>
  <si>
    <t>060</t>
  </si>
  <si>
    <t>064</t>
  </si>
  <si>
    <t>SFU/ICCD</t>
  </si>
  <si>
    <t>041</t>
  </si>
  <si>
    <t>042</t>
  </si>
  <si>
    <t>043</t>
  </si>
  <si>
    <t>Dixion Run upstream of Mears</t>
  </si>
  <si>
    <t>Dixon Barr</t>
  </si>
  <si>
    <t>046</t>
  </si>
  <si>
    <t>047</t>
  </si>
  <si>
    <t>048</t>
  </si>
  <si>
    <t>PD1</t>
  </si>
  <si>
    <t>PD2</t>
  </si>
  <si>
    <t>Penn Run AMD -1 North side</t>
  </si>
  <si>
    <t>Penn Run AMD -2 North side</t>
  </si>
  <si>
    <t>PD3</t>
  </si>
  <si>
    <t>Penn Run AMD -3 North side</t>
  </si>
  <si>
    <t>PD4</t>
  </si>
  <si>
    <t>Dixon above AMD2</t>
  </si>
  <si>
    <t>045</t>
  </si>
  <si>
    <t>Dixon Run at Moose Refuse</t>
  </si>
  <si>
    <t>Penn Run AMD -4 South side</t>
  </si>
  <si>
    <t>Dixon AMD 2</t>
  </si>
  <si>
    <t>Dixon Run upstream of Rosebud</t>
  </si>
  <si>
    <t>034</t>
  </si>
  <si>
    <t>ICCD</t>
  </si>
  <si>
    <t>033</t>
  </si>
  <si>
    <t>032</t>
  </si>
  <si>
    <t>031</t>
  </si>
  <si>
    <t>Refuse seepage US of Moose Lodge</t>
  </si>
  <si>
    <t>PR1</t>
  </si>
  <si>
    <t>Penn Run refuse seep</t>
  </si>
  <si>
    <t>MP6</t>
  </si>
  <si>
    <t>Penn Run upstream of MP7 trib</t>
  </si>
  <si>
    <t>Alkalinity</t>
  </si>
  <si>
    <t>S1</t>
  </si>
  <si>
    <t>Not correct. Measured Dixon Run at Barr Slope trib</t>
  </si>
  <si>
    <t>Mouth of Unnamed Tributary 44278</t>
  </si>
  <si>
    <t>Mouth of Unnamed Tributary 44280</t>
  </si>
  <si>
    <t>Mouth of Unnamed Tributary 44281</t>
  </si>
  <si>
    <t>N/A</t>
  </si>
  <si>
    <t>&lt;.3</t>
  </si>
  <si>
    <r>
      <t>Mouth of Unnamed Tributary 44280</t>
    </r>
    <r>
      <rPr>
        <sz val="11"/>
        <color theme="1"/>
        <rFont val="Calibri"/>
        <family val="2"/>
        <scheme val="minor"/>
      </rPr>
      <t/>
    </r>
  </si>
  <si>
    <r>
      <t>Mouth of Unnamed Tributary 44281</t>
    </r>
    <r>
      <rPr>
        <sz val="11"/>
        <color theme="1"/>
        <rFont val="Calibri"/>
        <family val="2"/>
        <scheme val="minor"/>
      </rPr>
      <t/>
    </r>
  </si>
  <si>
    <t>mile from mouth of PR</t>
  </si>
  <si>
    <t>Richards Seep</t>
  </si>
  <si>
    <t>Richards Treatment System Seep</t>
  </si>
  <si>
    <t>N. Pond</t>
  </si>
  <si>
    <t>North Pond</t>
  </si>
  <si>
    <t>S. Pond</t>
  </si>
  <si>
    <t>South Pond</t>
  </si>
  <si>
    <t>T4</t>
  </si>
  <si>
    <t>Tributary 4</t>
  </si>
  <si>
    <t>T3</t>
  </si>
  <si>
    <t>Tributary 3 (just upstream of T2)</t>
  </si>
  <si>
    <t>T2</t>
  </si>
  <si>
    <t>Tributary 2 (just upsteam of the bare spot)</t>
  </si>
  <si>
    <t>T1</t>
  </si>
  <si>
    <t>Tributary 1 (from bare spot across rd)</t>
  </si>
  <si>
    <t>T0.5</t>
  </si>
  <si>
    <t>Tributary 0.5 (just upstream of pull off)</t>
  </si>
  <si>
    <t>Pipeline crossing DS of pull off, no pt. source</t>
  </si>
  <si>
    <t>Pipeline</t>
  </si>
  <si>
    <t>Tributary 5</t>
  </si>
  <si>
    <t>Hedin and ICCD</t>
  </si>
  <si>
    <t>Seep leading to channel to PR after pond on N</t>
  </si>
  <si>
    <t>Seep into channel to PR on S side</t>
  </si>
  <si>
    <t>MP 14.3</t>
  </si>
  <si>
    <t>MP 14.2</t>
  </si>
  <si>
    <t>MP 14.1</t>
  </si>
  <si>
    <t>Seep into channel south side</t>
  </si>
  <si>
    <t>MP12</t>
  </si>
  <si>
    <t>Penn Run US of MP13</t>
  </si>
  <si>
    <t>MP13.1</t>
  </si>
  <si>
    <t>Seeps just US of MP13</t>
  </si>
  <si>
    <t>Seep at base of pond berm (pt source)</t>
  </si>
  <si>
    <t>Pond above 13.2</t>
  </si>
  <si>
    <t>Stream between 13.1 and 13.2 (no staining)</t>
  </si>
  <si>
    <t>MP7.1</t>
  </si>
  <si>
    <t>PD2+3</t>
  </si>
  <si>
    <t>Combined 2 and 3 AMD North side</t>
  </si>
  <si>
    <t>T5.5</t>
  </si>
  <si>
    <t>Trib 5 left source</t>
  </si>
  <si>
    <t>T5.25</t>
  </si>
  <si>
    <t>Trib 5 right source</t>
  </si>
  <si>
    <t>Seep 3 (T3)</t>
  </si>
  <si>
    <t>Seep area DS of T1</t>
  </si>
  <si>
    <t>TDS</t>
  </si>
  <si>
    <t>TSS</t>
  </si>
  <si>
    <t>&lt;20</t>
  </si>
  <si>
    <t>Alk</t>
  </si>
  <si>
    <t xml:space="preserve">Alk </t>
  </si>
  <si>
    <t>DRY</t>
  </si>
  <si>
    <t>PD5</t>
  </si>
  <si>
    <t>Fe +3</t>
  </si>
  <si>
    <t>Lattitude</t>
  </si>
  <si>
    <t xml:space="preserve">Harris St Discharge in Dixon Run report </t>
  </si>
  <si>
    <t>HE</t>
  </si>
  <si>
    <t>trickle</t>
  </si>
  <si>
    <t>A little further upstream than this location, generally same location</t>
  </si>
  <si>
    <t>MP1.5</t>
  </si>
  <si>
    <t>Penn Run DS of seep</t>
  </si>
  <si>
    <t>Dry</t>
  </si>
  <si>
    <t>Instream Seep</t>
  </si>
  <si>
    <t>Barely trickling at usual spot</t>
  </si>
  <si>
    <t>NA</t>
  </si>
  <si>
    <t>Fe+3</t>
  </si>
  <si>
    <t>Two Lick downstream of Starford</t>
  </si>
  <si>
    <t>Richards system out</t>
  </si>
  <si>
    <t>Trib across from bare spot on opp. side of rd</t>
  </si>
  <si>
    <t>Left trib source from mine dump</t>
  </si>
  <si>
    <t>Right trib source from mine dump</t>
  </si>
  <si>
    <t>Seep 1</t>
  </si>
  <si>
    <t>Mouth of trib to Penn Run</t>
  </si>
  <si>
    <t>MP 12</t>
  </si>
  <si>
    <t>MP 1.5</t>
  </si>
  <si>
    <t>Downstream of instream seepage (US PD1)</t>
  </si>
  <si>
    <t>Penn Run upstream of AMD, Penn Run upstream TMDL</t>
  </si>
  <si>
    <t>Penn Run refuse seepage</t>
  </si>
  <si>
    <t>AMD discharge. Upstream most discharge on north</t>
  </si>
  <si>
    <t>AMD discharge. Second discharge on north</t>
  </si>
  <si>
    <t>AMD discharge. Third discharge on north</t>
  </si>
  <si>
    <t>AMD discharge. Fouth discharge on south</t>
  </si>
  <si>
    <t>Discharge from berm of ponds</t>
  </si>
  <si>
    <t>Penn3</t>
  </si>
  <si>
    <t>Penn Run @ Rt. 553</t>
  </si>
  <si>
    <t>Sam2</t>
  </si>
  <si>
    <t>Sample Run upstream of refuse pile trib</t>
  </si>
  <si>
    <t>Sam4</t>
  </si>
  <si>
    <t>Dixon Run @ Moose Lodge</t>
  </si>
  <si>
    <t>Harris St discharge in Dixon Run report</t>
  </si>
  <si>
    <t>Discharge near Mears Complex</t>
  </si>
  <si>
    <t>Dixon Run upstream of Mears</t>
  </si>
  <si>
    <t>MP14.1</t>
  </si>
  <si>
    <t>MP14.2</t>
  </si>
  <si>
    <t>MP14.3</t>
  </si>
  <si>
    <t>Dixon 3</t>
  </si>
  <si>
    <t>PR seep</t>
  </si>
  <si>
    <t>Dixon AMD 1</t>
  </si>
  <si>
    <t>Dixon Mid</t>
  </si>
  <si>
    <t>Dixon Moose</t>
  </si>
  <si>
    <t>31</t>
  </si>
  <si>
    <t>32</t>
  </si>
  <si>
    <t>33</t>
  </si>
  <si>
    <t>36</t>
  </si>
  <si>
    <t>37</t>
  </si>
  <si>
    <t>38</t>
  </si>
  <si>
    <t>1</t>
  </si>
  <si>
    <t>2</t>
  </si>
  <si>
    <t>3</t>
  </si>
  <si>
    <t>6</t>
  </si>
  <si>
    <t>7</t>
  </si>
  <si>
    <t>8</t>
  </si>
  <si>
    <t>Sheet Name</t>
  </si>
  <si>
    <t>Sampling Locations</t>
  </si>
  <si>
    <t xml:space="preserve">Sampling locations (latitude and longitude) </t>
  </si>
  <si>
    <t>Chemical data</t>
  </si>
  <si>
    <t>All field and lab data collected during the sampling.</t>
  </si>
  <si>
    <t>Instream Data</t>
  </si>
  <si>
    <t>This data was compiled by Hedin Environmental for the 2025 Upper Two Lick Creek Watershed Assessment and Restoration Plan</t>
  </si>
  <si>
    <t>Sample Type</t>
  </si>
  <si>
    <t>UTLC Instream</t>
  </si>
  <si>
    <t>Instream</t>
  </si>
  <si>
    <t>Misc. and Richards Area</t>
  </si>
  <si>
    <t>Buck Run Mouth</t>
  </si>
  <si>
    <t>Tributary</t>
  </si>
  <si>
    <t>Diamondville borehole</t>
  </si>
  <si>
    <t>Discharge</t>
  </si>
  <si>
    <t>Treatment system</t>
  </si>
  <si>
    <t>Richards system seepage</t>
  </si>
  <si>
    <t>Pompey Run Mouth</t>
  </si>
  <si>
    <t>MP 14.25</t>
  </si>
  <si>
    <t>Penn Run Mid</t>
  </si>
  <si>
    <t>Seep just upstream of MP13</t>
  </si>
  <si>
    <t>Seep upstream of MP14, near pond</t>
  </si>
  <si>
    <t>Seep just downstream of MP14.3</t>
  </si>
  <si>
    <t>Seep on south side</t>
  </si>
  <si>
    <t>Refuse pile trib</t>
  </si>
  <si>
    <t>Clean trib</t>
  </si>
  <si>
    <t>Barr Slope tributary</t>
  </si>
  <si>
    <t>Seepage downstream of Barr Slope tributary</t>
  </si>
  <si>
    <t>Acres</t>
  </si>
  <si>
    <t>Parcel Number</t>
  </si>
  <si>
    <t>Parcel</t>
  </si>
  <si>
    <t>Last Name</t>
  </si>
  <si>
    <t>Address</t>
  </si>
  <si>
    <t>City</t>
  </si>
  <si>
    <t>Combined</t>
  </si>
  <si>
    <t>State</t>
  </si>
  <si>
    <t>Zipcode</t>
  </si>
  <si>
    <t>Lot Type</t>
  </si>
  <si>
    <t>Terrain</t>
  </si>
  <si>
    <t>Sewer</t>
  </si>
  <si>
    <t>Water</t>
  </si>
  <si>
    <t>Road</t>
  </si>
  <si>
    <t>Dwelling Type</t>
  </si>
  <si>
    <t>13-004-107</t>
  </si>
  <si>
    <t>WANCHISN, JOHN A AL</t>
  </si>
  <si>
    <t>1565 ROUTE 553 HWY</t>
  </si>
  <si>
    <t>PENN RUN</t>
  </si>
  <si>
    <t>DIAMONDVILLE RD</t>
  </si>
  <si>
    <t>PA</t>
  </si>
  <si>
    <t>15765-8204</t>
  </si>
  <si>
    <t>Rural</t>
  </si>
  <si>
    <t>Rollng</t>
  </si>
  <si>
    <t>Unknown</t>
  </si>
  <si>
    <t>None</t>
  </si>
  <si>
    <t>Paved</t>
  </si>
  <si>
    <t>13-010-120.01</t>
  </si>
  <si>
    <t>MYERS, TODD A UX</t>
  </si>
  <si>
    <t>776 RAILROAD AVE</t>
  </si>
  <si>
    <t>CLYMER</t>
  </si>
  <si>
    <t>15728-8239</t>
  </si>
  <si>
    <t>Steep</t>
  </si>
  <si>
    <t>Septic</t>
  </si>
  <si>
    <t>Spring</t>
  </si>
  <si>
    <t>Dirt/Grv</t>
  </si>
  <si>
    <t>MODULR</t>
  </si>
  <si>
    <t>100.01A</t>
  </si>
  <si>
    <t>13-005-100.01A</t>
  </si>
  <si>
    <t>RICHARDS, DENNIS J AL</t>
  </si>
  <si>
    <t>116 PINE VALE RD</t>
  </si>
  <si>
    <t>MARION CENTER</t>
  </si>
  <si>
    <t>15759-3701</t>
  </si>
  <si>
    <t>100.01B</t>
  </si>
  <si>
    <t>13-005-100.01B</t>
  </si>
  <si>
    <t>WHITTINGTON, LORI E</t>
  </si>
  <si>
    <t>113 MCBRIDE HILL RD</t>
  </si>
  <si>
    <t>BUTLER</t>
  </si>
  <si>
    <t>RTE 403 HWY</t>
  </si>
  <si>
    <t>005-114.04</t>
  </si>
  <si>
    <t>13-005-114.04</t>
  </si>
  <si>
    <t>US ENERGY EXPLORATION CORP</t>
  </si>
  <si>
    <t>PO BOX 237</t>
  </si>
  <si>
    <t>RURAL VALLEY</t>
  </si>
  <si>
    <t>13646 RTE 403 HWY N</t>
  </si>
  <si>
    <t>Level</t>
  </si>
  <si>
    <t>Public</t>
  </si>
  <si>
    <t>13-009-114</t>
  </si>
  <si>
    <t>RHINE, KEITH A</t>
  </si>
  <si>
    <t>647 RICH HILL RD</t>
  </si>
  <si>
    <t>15765-9129</t>
  </si>
  <si>
    <t>13-018-104.03</t>
  </si>
  <si>
    <t>ACM III</t>
  </si>
  <si>
    <t>810 S HARMONY RD</t>
  </si>
  <si>
    <t>399 SPAULDING RD</t>
  </si>
  <si>
    <t>15765-7516</t>
  </si>
  <si>
    <t>Well</t>
  </si>
  <si>
    <t>DETACH</t>
  </si>
  <si>
    <t>13-002-120</t>
  </si>
  <si>
    <t>MCCARTHY, ROBERT A AL</t>
  </si>
  <si>
    <t>953 S 2ND ST</t>
  </si>
  <si>
    <t>INDIANA</t>
  </si>
  <si>
    <t>Low</t>
  </si>
  <si>
    <t>13-003-144</t>
  </si>
  <si>
    <t>ROSEBUD MINING COMPANY</t>
  </si>
  <si>
    <t>301 MARKET ST</t>
  </si>
  <si>
    <t>KITTANNING</t>
  </si>
  <si>
    <t>HARRISON ST</t>
  </si>
  <si>
    <t>16201-1504</t>
  </si>
  <si>
    <t>Property Owners</t>
  </si>
  <si>
    <t>Property owners of discharge locations and potential treatment areas.</t>
  </si>
  <si>
    <t>Northern Potential Treatment Area for PD1-3</t>
  </si>
  <si>
    <t>Southern Potential Treatment Area for PD1-3</t>
  </si>
  <si>
    <t>UTLC Potential Treatment Area for Dixon Run discharges</t>
  </si>
  <si>
    <t>UTLC Potential Treatment Area for Dixon Run discharges Pipeline</t>
  </si>
  <si>
    <t>Diamondville borehole Potential Treatment Area and Pipeline</t>
  </si>
  <si>
    <t>T1 Potential Treatment Area and Pipeline using existing ponds</t>
  </si>
  <si>
    <t>T1 Potential Treatment Area and Pipeline along UTLC</t>
  </si>
  <si>
    <t>Dixon Run discharges Potential Treatment Areas near discharges and Pipeline</t>
  </si>
  <si>
    <t>13-009-114.03</t>
  </si>
  <si>
    <t>13-018-130</t>
  </si>
  <si>
    <t>DEITMAN, DAVID M SR UX</t>
  </si>
  <si>
    <t>185 MANOR RD</t>
  </si>
  <si>
    <t>GRACE CHURCH RD</t>
  </si>
  <si>
    <t>13-009-120</t>
  </si>
  <si>
    <t>FAIRMAN, KAREN S</t>
  </si>
  <si>
    <t>1020 CRAIG RD</t>
  </si>
  <si>
    <t>CREEKSIDE</t>
  </si>
  <si>
    <t>MOUNTAIN VIEW RD</t>
  </si>
  <si>
    <t>15732-7031</t>
  </si>
  <si>
    <t>13-006-120</t>
  </si>
  <si>
    <t>15-005-724</t>
  </si>
  <si>
    <t>BOROUGH OF CLYMER</t>
  </si>
  <si>
    <t>115 6TH ST</t>
  </si>
  <si>
    <t>SIXTH + ADAM STS</t>
  </si>
  <si>
    <t>15728-1188</t>
  </si>
  <si>
    <t>Interior</t>
  </si>
  <si>
    <t>15-005-402</t>
  </si>
  <si>
    <t>WELKER, CHRISTINA M</t>
  </si>
  <si>
    <t>475 SHERMAN ST</t>
  </si>
  <si>
    <t>830 FRANKLIN ST</t>
  </si>
  <si>
    <t>15728-1149</t>
  </si>
  <si>
    <t>15-006-201</t>
  </si>
  <si>
    <t>70 ADAMS ST</t>
  </si>
  <si>
    <t>LEE ST</t>
  </si>
  <si>
    <t>15-006-210</t>
  </si>
  <si>
    <t>CLYMER BOROUGH</t>
  </si>
  <si>
    <t>PENN + JEFFERSON</t>
  </si>
  <si>
    <t>Swampy</t>
  </si>
  <si>
    <t>15-005-600</t>
  </si>
  <si>
    <t>BOROUGH OFFICES</t>
  </si>
  <si>
    <t>13-006-126</t>
  </si>
  <si>
    <t>AFC COAL PROPERTIES INC C/O CLEAN STREAMS FOUNDATION INC</t>
  </si>
  <si>
    <t>180 NORTH MILL ST</t>
  </si>
  <si>
    <t>LEXINGTON</t>
  </si>
  <si>
    <t>RTE 286 HWY</t>
  </si>
  <si>
    <t>KY</t>
  </si>
  <si>
    <t>13-006-121</t>
  </si>
  <si>
    <t>13-008-120</t>
  </si>
  <si>
    <t>AFC COAL PROPERITES INC C/O CLEAN STREAMS FOUNDATION INC</t>
  </si>
  <si>
    <t>13-006-127</t>
  </si>
  <si>
    <t>15-005-727.01</t>
  </si>
  <si>
    <t>115 S SIXTH ST</t>
  </si>
  <si>
    <t>10TH ST</t>
  </si>
  <si>
    <t>13-010-106.01</t>
  </si>
  <si>
    <t>CL OUTDOORS LLC</t>
  </si>
  <si>
    <t>192 BARR RD</t>
  </si>
  <si>
    <t>13-010-121</t>
  </si>
  <si>
    <t>HILL, WILBERT J UX</t>
  </si>
  <si>
    <t>6697 GREENBRIER CEMETERY RD</t>
  </si>
  <si>
    <t>GREENBRIER</t>
  </si>
  <si>
    <t>558 RAILROAD AVE</t>
  </si>
  <si>
    <t>TN</t>
  </si>
  <si>
    <t>13-005-100.01</t>
  </si>
  <si>
    <t>QUEENSTOWN HUNT CLUB INC</t>
  </si>
  <si>
    <t>RTE 403 HWY N</t>
  </si>
  <si>
    <t>Property ownership as of November 2023</t>
  </si>
  <si>
    <t>Two Lick upstream South Branch</t>
  </si>
  <si>
    <t>South Branch Mouth</t>
  </si>
  <si>
    <t>Mouth of South Branch Two Lick</t>
  </si>
  <si>
    <t>Field and lab data collected during sampling in Sample Run.</t>
  </si>
  <si>
    <t>Field and lab data collected during sampling in Dixon Run.</t>
  </si>
  <si>
    <t>Field and lab data collected during sampling in Penn Run.</t>
  </si>
  <si>
    <t>Field and lab data collected during sampling at instream locations on UTLC.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</si>
</sst>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0.00_);_(* \(#,##0.00\);_(* &quot;-&quot;??_);_(@_)"/>
    <numFmt numFmtId="164" formatCode="0.000000"/>
    <numFmt numFmtId="165" formatCode="0.0"/>
    <numFmt numFmtId="166" formatCode="0.00000"/>
    <numFmt numFmtId="167" formatCode="0.000"/>
    <numFmt numFmtId="168" formatCode="m/d/yyyy;@"/>
    <numFmt numFmtId="169" formatCode="0.0000"/>
    <numFmt numFmtId="170" formatCode="#,##0.0"/>
    <numFmt numFmtId="171" formatCode="_(* #,##0_);_(* \(#,##0\);_(* &quot;-&quot;??_);_(@_)"/>
    <numFmt numFmtId="172" formatCode="#,##0.000"/>
    <numFmt numFmtId="173" formatCode="#,##0.0000"/>
  </numFmts>
  <fonts count="18" x14ac:knownFonts="1">
    <font>
      <sz val="11"/>
      <color theme="1"/>
      <name val="Calibri"/>
      <family val="2"/>
      <scheme val="minor"/>
    </font>
    <font>
      <sz val="11"/>
      <color rgb="FFFF0000"/>
      <name val="Calibri"/>
      <family val="2"/>
      <scheme val="minor"/>
    </font>
    <font>
      <sz val="11"/>
      <color rgb="FF333336"/>
      <name val="Times New Roman"/>
      <family val="1"/>
    </font>
    <font>
      <b/>
      <sz val="11"/>
      <color theme="1"/>
      <name val="Calibri"/>
      <family val="2"/>
      <scheme val="minor"/>
    </font>
    <font>
      <sz val="11"/>
      <name val="Calibri"/>
      <family val="2"/>
      <scheme val="minor"/>
    </font>
    <font>
      <i/>
      <sz val="11"/>
      <color theme="1"/>
      <name val="Calibri"/>
      <family val="2"/>
      <scheme val="minor"/>
    </font>
    <font>
      <b/>
      <u/>
      <sz val="11"/>
      <color theme="1"/>
      <name val="Calibri"/>
      <family val="2"/>
      <scheme val="minor"/>
    </font>
    <font>
      <sz val="11"/>
      <color theme="1"/>
      <name val="Calibri"/>
      <family val="2"/>
      <scheme val="minor"/>
    </font>
    <font>
      <sz val="11"/>
      <name val="Times New Roman"/>
      <family val="1"/>
    </font>
    <font>
      <sz val="8"/>
      <name val="Calibri"/>
      <family val="2"/>
      <scheme val="minor"/>
    </font>
    <font>
      <b/>
      <sz val="11"/>
      <color rgb="FF333336"/>
      <name val="Times New Roman"/>
      <family val="1"/>
    </font>
    <font>
      <b/>
      <sz val="11"/>
      <name val="Calibri"/>
      <family val="2"/>
      <scheme val="minor"/>
    </font>
    <font>
      <sz val="10"/>
      <color rgb="FF000000"/>
      <name val="Calibri"/>
      <family val="2"/>
      <scheme val="minor"/>
    </font>
    <font>
      <b/>
      <sz val="10"/>
      <name val="Calibri"/>
      <family val="2"/>
      <scheme val="minor"/>
    </font>
    <font>
      <sz val="10"/>
      <name val="Calibri"/>
      <family val="2"/>
      <scheme val="minor"/>
    </font>
    <font>
      <sz val="10"/>
      <color theme="1"/>
      <name val="Calibri"/>
      <family val="2"/>
      <scheme val="minor"/>
    </font>
    <font>
      <sz val="11"/>
      <color rgb="FFFF0000"/>
      <name val="Times New Roman"/>
      <family val="1"/>
    </font>
    <font>
      <b/>
      <sz val="10"/>
      <color rgb="FF000000"/>
      <name val="Calibri"/>
      <family val="2"/>
      <scheme val="minor"/>
    </font>
  </fonts>
  <fills count="3">
    <fill>
      <patternFill patternType="none"/>
    </fill>
    <fill>
      <patternFill patternType="gray125"/>
    </fill>
    <fill>
      <patternFill patternType="solid">
        <fgColor theme="2" tint="-9.9978637043366805E-2"/>
        <bgColor indexed="64"/>
      </patternFill>
    </fill>
  </fills>
  <borders count="2">
    <border>
      <left/>
      <right/>
      <top/>
      <bottom/>
      <diagonal/>
    </border>
    <border>
      <left style="thin">
        <color theme="2"/>
      </left>
      <right style="thin">
        <color theme="2"/>
      </right>
      <top style="thin">
        <color theme="2"/>
      </top>
      <bottom style="thin">
        <color theme="2"/>
      </bottom>
      <diagonal/>
    </border>
  </borders>
  <cellStyleXfs count="3">
    <xf numFmtId="0" fontId="0" fillId="0" borderId="0"/>
    <xf numFmtId="9" fontId="7" fillId="0" borderId="0" applyFont="0" applyFill="0" applyBorder="0" applyAlignment="0" applyProtection="0"/>
    <xf numFmtId="43" fontId="7" fillId="0" borderId="0" applyFont="0" applyFill="0" applyBorder="0" applyAlignment="0" applyProtection="0"/>
  </cellStyleXfs>
  <cellXfs count="130">
    <xf numFmtId="0" fontId="0" fillId="0" borderId="0" xfId="0"/>
    <xf numFmtId="3" fontId="0" fillId="0" borderId="0" xfId="0" applyNumberFormat="1"/>
    <xf numFmtId="2" fontId="0" fillId="0" borderId="0" xfId="0" applyNumberFormat="1"/>
    <xf numFmtId="165" fontId="0" fillId="0" borderId="0" xfId="0" applyNumberFormat="1"/>
    <xf numFmtId="1" fontId="0" fillId="0" borderId="0" xfId="0" applyNumberFormat="1"/>
    <xf numFmtId="14" fontId="0" fillId="0" borderId="0" xfId="0" applyNumberFormat="1"/>
    <xf numFmtId="0" fontId="0" fillId="0" borderId="0" xfId="0" applyAlignment="1">
      <alignment wrapText="1"/>
    </xf>
    <xf numFmtId="0" fontId="3" fillId="0" borderId="0" xfId="0" applyFont="1"/>
    <xf numFmtId="165" fontId="0" fillId="0" borderId="0" xfId="0" applyNumberFormat="1" applyAlignment="1">
      <alignment wrapText="1"/>
    </xf>
    <xf numFmtId="3" fontId="4" fillId="0" borderId="0" xfId="0" applyNumberFormat="1" applyFont="1"/>
    <xf numFmtId="1" fontId="1" fillId="0" borderId="0" xfId="0" applyNumberFormat="1" applyFont="1"/>
    <xf numFmtId="164" fontId="0" fillId="0" borderId="0" xfId="0" applyNumberFormat="1"/>
    <xf numFmtId="49" fontId="0" fillId="0" borderId="0" xfId="0" applyNumberFormat="1"/>
    <xf numFmtId="0" fontId="2" fillId="0" borderId="0" xfId="0" applyFont="1"/>
    <xf numFmtId="3" fontId="1" fillId="0" borderId="0" xfId="0" applyNumberFormat="1" applyFont="1"/>
    <xf numFmtId="2" fontId="3" fillId="0" borderId="0" xfId="0" applyNumberFormat="1" applyFont="1"/>
    <xf numFmtId="0" fontId="1" fillId="0" borderId="0" xfId="0" applyFont="1"/>
    <xf numFmtId="2" fontId="1" fillId="0" borderId="0" xfId="0" applyNumberFormat="1" applyFont="1"/>
    <xf numFmtId="1" fontId="4" fillId="0" borderId="0" xfId="0" applyNumberFormat="1" applyFont="1"/>
    <xf numFmtId="1" fontId="3" fillId="0" borderId="0" xfId="0" applyNumberFormat="1" applyFont="1"/>
    <xf numFmtId="3" fontId="3" fillId="0" borderId="0" xfId="0" applyNumberFormat="1" applyFont="1"/>
    <xf numFmtId="2" fontId="4" fillId="0" borderId="0" xfId="0" applyNumberFormat="1" applyFont="1"/>
    <xf numFmtId="165" fontId="4" fillId="0" borderId="0" xfId="0" applyNumberFormat="1" applyFont="1"/>
    <xf numFmtId="165" fontId="1" fillId="0" borderId="0" xfId="0" applyNumberFormat="1" applyFont="1"/>
    <xf numFmtId="14" fontId="4" fillId="0" borderId="0" xfId="0" applyNumberFormat="1" applyFont="1"/>
    <xf numFmtId="49" fontId="4" fillId="0" borderId="0" xfId="0" applyNumberFormat="1" applyFont="1"/>
    <xf numFmtId="0" fontId="4" fillId="0" borderId="0" xfId="0" applyFont="1"/>
    <xf numFmtId="164" fontId="4" fillId="0" borderId="0" xfId="0" applyNumberFormat="1" applyFont="1"/>
    <xf numFmtId="165" fontId="4" fillId="0" borderId="0" xfId="0" applyNumberFormat="1" applyFont="1" applyAlignment="1">
      <alignment wrapText="1"/>
    </xf>
    <xf numFmtId="0" fontId="8" fillId="0" borderId="0" xfId="0" applyFont="1"/>
    <xf numFmtId="170" fontId="3" fillId="0" borderId="0" xfId="0" applyNumberFormat="1" applyFont="1"/>
    <xf numFmtId="170" fontId="0" fillId="0" borderId="0" xfId="0" applyNumberFormat="1"/>
    <xf numFmtId="165" fontId="3" fillId="0" borderId="0" xfId="0" applyNumberFormat="1" applyFont="1"/>
    <xf numFmtId="3" fontId="0" fillId="0" borderId="0" xfId="0" applyNumberFormat="1" applyAlignment="1">
      <alignment vertical="top"/>
    </xf>
    <xf numFmtId="2" fontId="0" fillId="0" borderId="0" xfId="0" applyNumberFormat="1" applyAlignment="1">
      <alignment vertical="top"/>
    </xf>
    <xf numFmtId="9" fontId="0" fillId="0" borderId="0" xfId="1" applyFont="1" applyAlignment="1">
      <alignment vertical="top"/>
    </xf>
    <xf numFmtId="165" fontId="0" fillId="0" borderId="0" xfId="0" applyNumberFormat="1" applyAlignment="1">
      <alignment vertical="top"/>
    </xf>
    <xf numFmtId="1" fontId="0" fillId="0" borderId="0" xfId="0" applyNumberFormat="1" applyAlignment="1">
      <alignment vertical="top"/>
    </xf>
    <xf numFmtId="0" fontId="0" fillId="0" borderId="0" xfId="0" applyAlignment="1">
      <alignment vertical="top"/>
    </xf>
    <xf numFmtId="3" fontId="0" fillId="0" borderId="0" xfId="0" applyNumberFormat="1" applyAlignment="1">
      <alignment horizontal="right"/>
    </xf>
    <xf numFmtId="1" fontId="0" fillId="0" borderId="0" xfId="0" applyNumberFormat="1" applyAlignment="1">
      <alignment wrapText="1"/>
    </xf>
    <xf numFmtId="2" fontId="0" fillId="0" borderId="0" xfId="0" applyNumberFormat="1" applyAlignment="1">
      <alignment wrapText="1"/>
    </xf>
    <xf numFmtId="164" fontId="0" fillId="0" borderId="1" xfId="0" applyNumberFormat="1" applyBorder="1" applyAlignment="1">
      <alignment vertical="center"/>
    </xf>
    <xf numFmtId="4" fontId="0" fillId="0" borderId="0" xfId="0" applyNumberFormat="1"/>
    <xf numFmtId="164" fontId="1" fillId="0" borderId="0" xfId="0" applyNumberFormat="1" applyFont="1"/>
    <xf numFmtId="14" fontId="3" fillId="0" borderId="0" xfId="0" applyNumberFormat="1" applyFont="1"/>
    <xf numFmtId="49" fontId="3" fillId="0" borderId="0" xfId="0" applyNumberFormat="1" applyFont="1"/>
    <xf numFmtId="164" fontId="3" fillId="0" borderId="0" xfId="0" applyNumberFormat="1" applyFont="1"/>
    <xf numFmtId="0" fontId="10" fillId="0" borderId="0" xfId="0" applyFont="1"/>
    <xf numFmtId="0" fontId="0" fillId="0" borderId="1" xfId="0" applyBorder="1" applyAlignment="1">
      <alignment vertical="center"/>
    </xf>
    <xf numFmtId="4" fontId="3" fillId="0" borderId="0" xfId="0" applyNumberFormat="1" applyFont="1"/>
    <xf numFmtId="3" fontId="11" fillId="0" borderId="0" xfId="0" applyNumberFormat="1" applyFont="1"/>
    <xf numFmtId="165" fontId="5" fillId="0" borderId="0" xfId="0" applyNumberFormat="1" applyFont="1"/>
    <xf numFmtId="0" fontId="0" fillId="0" borderId="0" xfId="0" applyAlignment="1">
      <alignment vertical="center"/>
    </xf>
    <xf numFmtId="0" fontId="0" fillId="0" borderId="1" xfId="0" applyBorder="1"/>
    <xf numFmtId="164" fontId="0" fillId="0" borderId="0" xfId="0" applyNumberFormat="1" applyAlignment="1">
      <alignment vertical="center"/>
    </xf>
    <xf numFmtId="164" fontId="0" fillId="0" borderId="1" xfId="0" applyNumberFormat="1" applyBorder="1"/>
    <xf numFmtId="171" fontId="3" fillId="0" borderId="0" xfId="2" applyNumberFormat="1" applyFont="1"/>
    <xf numFmtId="169" fontId="12" fillId="0" borderId="0" xfId="0" applyNumberFormat="1" applyFont="1" applyAlignment="1">
      <alignment vertical="top" shrinkToFit="1"/>
    </xf>
    <xf numFmtId="166" fontId="12" fillId="0" borderId="0" xfId="0" applyNumberFormat="1" applyFont="1" applyAlignment="1">
      <alignment vertical="top" shrinkToFit="1"/>
    </xf>
    <xf numFmtId="3" fontId="0" fillId="0" borderId="0" xfId="0" applyNumberFormat="1" applyAlignment="1">
      <alignment wrapText="1"/>
    </xf>
    <xf numFmtId="168" fontId="12" fillId="0" borderId="0" xfId="0" applyNumberFormat="1" applyFont="1" applyAlignment="1">
      <alignment vertical="top" shrinkToFit="1"/>
    </xf>
    <xf numFmtId="0" fontId="13" fillId="0" borderId="0" xfId="0" applyFont="1" applyAlignment="1">
      <alignment vertical="top" wrapText="1"/>
    </xf>
    <xf numFmtId="3" fontId="14" fillId="0" borderId="0" xfId="0" applyNumberFormat="1" applyFont="1" applyAlignment="1">
      <alignment vertical="top" wrapText="1"/>
    </xf>
    <xf numFmtId="2" fontId="12" fillId="0" borderId="0" xfId="0" applyNumberFormat="1" applyFont="1" applyAlignment="1">
      <alignment vertical="top" shrinkToFit="1"/>
    </xf>
    <xf numFmtId="1" fontId="12" fillId="0" borderId="0" xfId="0" applyNumberFormat="1" applyFont="1" applyAlignment="1">
      <alignment vertical="top" shrinkToFit="1"/>
    </xf>
    <xf numFmtId="165" fontId="12" fillId="0" borderId="0" xfId="0" applyNumberFormat="1" applyFont="1" applyAlignment="1">
      <alignment vertical="top" shrinkToFit="1"/>
    </xf>
    <xf numFmtId="3" fontId="12" fillId="0" borderId="0" xfId="0" applyNumberFormat="1" applyFont="1" applyAlignment="1">
      <alignment vertical="top" shrinkToFit="1"/>
    </xf>
    <xf numFmtId="0" fontId="14" fillId="0" borderId="0" xfId="0" applyFont="1" applyAlignment="1">
      <alignment vertical="top" wrapText="1"/>
    </xf>
    <xf numFmtId="3" fontId="15" fillId="0" borderId="0" xfId="0" applyNumberFormat="1" applyFont="1"/>
    <xf numFmtId="2" fontId="15" fillId="0" borderId="0" xfId="0" applyNumberFormat="1" applyFont="1"/>
    <xf numFmtId="14" fontId="0" fillId="0" borderId="0" xfId="0" applyNumberFormat="1" applyAlignment="1">
      <alignment wrapText="1"/>
    </xf>
    <xf numFmtId="165" fontId="14" fillId="0" borderId="0" xfId="0" applyNumberFormat="1" applyFont="1" applyAlignment="1">
      <alignment vertical="top" wrapText="1"/>
    </xf>
    <xf numFmtId="167" fontId="12" fillId="0" borderId="0" xfId="0" applyNumberFormat="1" applyFont="1" applyAlignment="1">
      <alignment vertical="top" shrinkToFit="1"/>
    </xf>
    <xf numFmtId="0" fontId="12" fillId="0" borderId="0" xfId="0" applyFont="1" applyAlignment="1">
      <alignment vertical="top" shrinkToFit="1"/>
    </xf>
    <xf numFmtId="168" fontId="12" fillId="0" borderId="0" xfId="0" applyNumberFormat="1" applyFont="1" applyAlignment="1">
      <alignment vertical="top" wrapText="1" shrinkToFit="1"/>
    </xf>
    <xf numFmtId="167" fontId="0" fillId="0" borderId="0" xfId="0" applyNumberFormat="1" applyAlignment="1">
      <alignment vertical="top"/>
    </xf>
    <xf numFmtId="168" fontId="0" fillId="0" borderId="0" xfId="0" applyNumberFormat="1" applyAlignment="1">
      <alignment vertical="top"/>
    </xf>
    <xf numFmtId="9" fontId="0" fillId="0" borderId="0" xfId="1" applyFont="1" applyBorder="1" applyAlignment="1">
      <alignment vertical="top"/>
    </xf>
    <xf numFmtId="9" fontId="3" fillId="0" borderId="0" xfId="1" applyFont="1" applyBorder="1" applyAlignment="1">
      <alignment vertical="top"/>
    </xf>
    <xf numFmtId="14" fontId="0" fillId="0" borderId="0" xfId="0" applyNumberFormat="1" applyAlignment="1">
      <alignment vertical="top"/>
    </xf>
    <xf numFmtId="164" fontId="12" fillId="0" borderId="0" xfId="0" applyNumberFormat="1" applyFont="1" applyAlignment="1">
      <alignment vertical="top" wrapText="1" shrinkToFit="1"/>
    </xf>
    <xf numFmtId="0" fontId="12" fillId="0" borderId="0" xfId="0" applyFont="1" applyAlignment="1">
      <alignment vertical="top" wrapText="1" shrinkToFit="1"/>
    </xf>
    <xf numFmtId="4" fontId="1" fillId="0" borderId="0" xfId="0" applyNumberFormat="1" applyFont="1"/>
    <xf numFmtId="165" fontId="5" fillId="0" borderId="0" xfId="0" applyNumberFormat="1" applyFont="1" applyAlignment="1">
      <alignment vertical="top"/>
    </xf>
    <xf numFmtId="165" fontId="1" fillId="0" borderId="0" xfId="0" applyNumberFormat="1" applyFont="1" applyAlignment="1">
      <alignment vertical="top"/>
    </xf>
    <xf numFmtId="0" fontId="5" fillId="0" borderId="0" xfId="0" applyFont="1"/>
    <xf numFmtId="171" fontId="0" fillId="0" borderId="0" xfId="2" applyNumberFormat="1" applyFont="1"/>
    <xf numFmtId="2" fontId="0" fillId="0" borderId="0" xfId="2" applyNumberFormat="1" applyFont="1"/>
    <xf numFmtId="165" fontId="0" fillId="0" borderId="0" xfId="2" applyNumberFormat="1" applyFont="1"/>
    <xf numFmtId="1" fontId="0" fillId="0" borderId="0" xfId="2" applyNumberFormat="1" applyFont="1"/>
    <xf numFmtId="0" fontId="0" fillId="0" borderId="0" xfId="0" applyAlignment="1">
      <alignment horizontal="right"/>
    </xf>
    <xf numFmtId="3" fontId="5" fillId="0" borderId="0" xfId="0" applyNumberFormat="1" applyFont="1"/>
    <xf numFmtId="4" fontId="4" fillId="0" borderId="0" xfId="0" applyNumberFormat="1" applyFont="1"/>
    <xf numFmtId="0" fontId="1" fillId="0" borderId="0" xfId="0" applyFont="1" applyAlignment="1">
      <alignment wrapText="1"/>
    </xf>
    <xf numFmtId="165" fontId="1" fillId="0" borderId="0" xfId="0" applyNumberFormat="1" applyFont="1" applyAlignment="1">
      <alignment wrapText="1"/>
    </xf>
    <xf numFmtId="170" fontId="1" fillId="0" borderId="0" xfId="0" applyNumberFormat="1" applyFont="1"/>
    <xf numFmtId="0" fontId="16" fillId="0" borderId="0" xfId="0" applyFont="1"/>
    <xf numFmtId="170" fontId="4" fillId="0" borderId="0" xfId="0" applyNumberFormat="1" applyFont="1"/>
    <xf numFmtId="1" fontId="4" fillId="0" borderId="0" xfId="0" applyNumberFormat="1" applyFont="1" applyAlignment="1">
      <alignment wrapText="1"/>
    </xf>
    <xf numFmtId="170" fontId="5" fillId="0" borderId="0" xfId="0" applyNumberFormat="1" applyFont="1"/>
    <xf numFmtId="165" fontId="5" fillId="0" borderId="0" xfId="0" applyNumberFormat="1" applyFont="1" applyAlignment="1">
      <alignment wrapText="1"/>
    </xf>
    <xf numFmtId="168" fontId="17" fillId="0" borderId="0" xfId="0" applyNumberFormat="1" applyFont="1" applyAlignment="1">
      <alignment vertical="top" shrinkToFit="1"/>
    </xf>
    <xf numFmtId="0" fontId="17" fillId="0" borderId="0" xfId="0" applyFont="1" applyAlignment="1">
      <alignment vertical="top" shrinkToFit="1"/>
    </xf>
    <xf numFmtId="0" fontId="3" fillId="0" borderId="0" xfId="0" applyFont="1" applyAlignment="1">
      <alignment vertical="top"/>
    </xf>
    <xf numFmtId="9" fontId="3" fillId="0" borderId="0" xfId="0" applyNumberFormat="1" applyFont="1"/>
    <xf numFmtId="2" fontId="5" fillId="0" borderId="0" xfId="0" applyNumberFormat="1" applyFont="1"/>
    <xf numFmtId="1" fontId="2" fillId="0" borderId="0" xfId="0" applyNumberFormat="1" applyFont="1"/>
    <xf numFmtId="3" fontId="0" fillId="0" borderId="0" xfId="2" applyNumberFormat="1" applyFont="1"/>
    <xf numFmtId="165" fontId="3" fillId="0" borderId="0" xfId="2" applyNumberFormat="1" applyFont="1"/>
    <xf numFmtId="1" fontId="3" fillId="0" borderId="0" xfId="2" applyNumberFormat="1" applyFont="1"/>
    <xf numFmtId="171" fontId="7" fillId="0" borderId="0" xfId="2" applyNumberFormat="1" applyFont="1"/>
    <xf numFmtId="1" fontId="7" fillId="0" borderId="0" xfId="2" applyNumberFormat="1" applyFont="1"/>
    <xf numFmtId="165" fontId="7" fillId="0" borderId="0" xfId="2" applyNumberFormat="1" applyFont="1"/>
    <xf numFmtId="2" fontId="7" fillId="0" borderId="0" xfId="2" applyNumberFormat="1" applyFont="1"/>
    <xf numFmtId="1" fontId="1" fillId="0" borderId="0" xfId="0" applyNumberFormat="1" applyFont="1" applyAlignment="1">
      <alignment wrapText="1"/>
    </xf>
    <xf numFmtId="172" fontId="3" fillId="0" borderId="0" xfId="0" applyNumberFormat="1" applyFont="1"/>
    <xf numFmtId="173" fontId="3" fillId="0" borderId="0" xfId="0" applyNumberFormat="1" applyFont="1"/>
    <xf numFmtId="0" fontId="6" fillId="0" borderId="0" xfId="0" applyFont="1"/>
    <xf numFmtId="0" fontId="3" fillId="0" borderId="0" xfId="0" applyFont="1" applyAlignment="1">
      <alignment vertical="center"/>
    </xf>
    <xf numFmtId="164" fontId="3" fillId="0" borderId="0" xfId="0" applyNumberFormat="1" applyFont="1" applyAlignment="1">
      <alignment vertical="center"/>
    </xf>
    <xf numFmtId="0" fontId="0" fillId="2" borderId="0" xfId="0" applyFill="1"/>
    <xf numFmtId="0" fontId="0" fillId="0" borderId="0" xfId="0" applyAlignment="1">
      <alignment vertical="center" wrapText="1"/>
    </xf>
    <xf numFmtId="0" fontId="0" fillId="2" borderId="0" xfId="0" applyFill="1" applyAlignment="1">
      <alignment vertical="center"/>
    </xf>
    <xf numFmtId="0" fontId="3" fillId="2" borderId="0" xfId="0" applyFont="1" applyFill="1" applyAlignment="1">
      <alignment vertical="center"/>
    </xf>
    <xf numFmtId="164" fontId="3" fillId="2" borderId="0" xfId="0" applyNumberFormat="1" applyFont="1" applyFill="1" applyAlignment="1">
      <alignment vertical="center"/>
    </xf>
    <xf numFmtId="1" fontId="0" fillId="0" borderId="0" xfId="0" applyNumberFormat="1" applyAlignment="1">
      <alignment vertical="center"/>
    </xf>
    <xf numFmtId="164" fontId="0" fillId="0" borderId="0" xfId="0" applyNumberFormat="1" applyAlignment="1">
      <alignment horizontal="right" vertical="center"/>
    </xf>
    <xf numFmtId="0" fontId="0" fillId="0" borderId="0" xfId="0" applyAlignment="1">
      <alignment horizontal="right" vertical="center"/>
    </xf>
    <xf numFmtId="164" fontId="3" fillId="0" borderId="0" xfId="0" applyNumberFormat="1" applyFont="1" applyAlignment="1">
      <alignment horizontal="center" vertical="center"/>
    </xf>
  </cellXfs>
  <cellStyles count="3">
    <cellStyle name="Comma" xfId="2" builtinId="3"/>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connections" Target="connections.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Field vs lab sp.</a:t>
            </a:r>
            <a:r>
              <a:rPr lang="en-US" baseline="0"/>
              <a:t> cond.</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xVal>
            <c:strRef>
              <c:f>'Chemical Data'!$N$8:$N$551</c:f>
              <c:strCache>
                <c:ptCount val="539"/>
                <c:pt idx="0">
                  <c:v>320</c:v>
                </c:pt>
                <c:pt idx="1">
                  <c:v>322</c:v>
                </c:pt>
                <c:pt idx="2">
                  <c:v>321.00</c:v>
                </c:pt>
                <c:pt idx="4">
                  <c:v>85</c:v>
                </c:pt>
                <c:pt idx="5">
                  <c:v>92</c:v>
                </c:pt>
                <c:pt idx="6">
                  <c:v>88.50</c:v>
                </c:pt>
                <c:pt idx="8">
                  <c:v>95</c:v>
                </c:pt>
                <c:pt idx="9">
                  <c:v>245</c:v>
                </c:pt>
                <c:pt idx="10">
                  <c:v>170.00</c:v>
                </c:pt>
                <c:pt idx="12">
                  <c:v>434</c:v>
                </c:pt>
                <c:pt idx="13">
                  <c:v>318</c:v>
                </c:pt>
                <c:pt idx="14">
                  <c:v>376.00</c:v>
                </c:pt>
                <c:pt idx="17">
                  <c:v>507</c:v>
                </c:pt>
                <c:pt idx="18">
                  <c:v>448</c:v>
                </c:pt>
                <c:pt idx="19">
                  <c:v>477.50</c:v>
                </c:pt>
                <c:pt idx="21">
                  <c:v>414</c:v>
                </c:pt>
                <c:pt idx="22">
                  <c:v>326</c:v>
                </c:pt>
                <c:pt idx="23">
                  <c:v>370.00</c:v>
                </c:pt>
                <c:pt idx="26">
                  <c:v>224</c:v>
                </c:pt>
                <c:pt idx="27">
                  <c:v>187</c:v>
                </c:pt>
                <c:pt idx="28">
                  <c:v>205.50</c:v>
                </c:pt>
                <c:pt idx="31">
                  <c:v>255</c:v>
                </c:pt>
                <c:pt idx="32">
                  <c:v>152</c:v>
                </c:pt>
                <c:pt idx="33">
                  <c:v>203.50</c:v>
                </c:pt>
                <c:pt idx="35">
                  <c:v>411</c:v>
                </c:pt>
                <c:pt idx="36">
                  <c:v>275</c:v>
                </c:pt>
                <c:pt idx="37">
                  <c:v>446</c:v>
                </c:pt>
                <c:pt idx="38">
                  <c:v>265</c:v>
                </c:pt>
                <c:pt idx="39">
                  <c:v>473</c:v>
                </c:pt>
                <c:pt idx="40">
                  <c:v>335</c:v>
                </c:pt>
                <c:pt idx="41">
                  <c:v>368</c:v>
                </c:pt>
                <c:pt idx="43">
                  <c:v>672</c:v>
                </c:pt>
                <c:pt idx="44">
                  <c:v>465</c:v>
                </c:pt>
                <c:pt idx="45">
                  <c:v>568.50</c:v>
                </c:pt>
                <c:pt idx="48">
                  <c:v>346</c:v>
                </c:pt>
                <c:pt idx="49">
                  <c:v>286</c:v>
                </c:pt>
                <c:pt idx="50">
                  <c:v>316.00</c:v>
                </c:pt>
                <c:pt idx="53">
                  <c:v>94</c:v>
                </c:pt>
                <c:pt idx="54">
                  <c:v>94.00</c:v>
                </c:pt>
                <c:pt idx="69">
                  <c:v>436</c:v>
                </c:pt>
                <c:pt idx="70">
                  <c:v>294</c:v>
                </c:pt>
                <c:pt idx="71">
                  <c:v>317</c:v>
                </c:pt>
                <c:pt idx="72">
                  <c:v>275</c:v>
                </c:pt>
                <c:pt idx="73">
                  <c:v>485</c:v>
                </c:pt>
                <c:pt idx="74">
                  <c:v>367</c:v>
                </c:pt>
                <c:pt idx="75">
                  <c:v>362</c:v>
                </c:pt>
                <c:pt idx="78">
                  <c:v>349</c:v>
                </c:pt>
                <c:pt idx="79">
                  <c:v>200</c:v>
                </c:pt>
                <c:pt idx="80">
                  <c:v>388</c:v>
                </c:pt>
                <c:pt idx="81">
                  <c:v>181</c:v>
                </c:pt>
                <c:pt idx="82">
                  <c:v>483</c:v>
                </c:pt>
                <c:pt idx="83">
                  <c:v>264</c:v>
                </c:pt>
                <c:pt idx="84">
                  <c:v>311</c:v>
                </c:pt>
                <c:pt idx="99">
                  <c:v>383</c:v>
                </c:pt>
                <c:pt idx="100">
                  <c:v>237</c:v>
                </c:pt>
                <c:pt idx="101">
                  <c:v>306</c:v>
                </c:pt>
                <c:pt idx="102">
                  <c:v>224</c:v>
                </c:pt>
                <c:pt idx="103">
                  <c:v>504</c:v>
                </c:pt>
                <c:pt idx="104">
                  <c:v>295</c:v>
                </c:pt>
                <c:pt idx="105">
                  <c:v>325</c:v>
                </c:pt>
                <c:pt idx="130">
                  <c:v>1,535</c:v>
                </c:pt>
                <c:pt idx="131">
                  <c:v>1,502</c:v>
                </c:pt>
                <c:pt idx="132">
                  <c:v>813</c:v>
                </c:pt>
                <c:pt idx="133">
                  <c:v>1,235</c:v>
                </c:pt>
                <c:pt idx="134">
                  <c:v>1,235</c:v>
                </c:pt>
                <c:pt idx="135">
                  <c:v>1,177</c:v>
                </c:pt>
                <c:pt idx="136">
                  <c:v>1,250</c:v>
                </c:pt>
                <c:pt idx="151">
                  <c:v>378</c:v>
                </c:pt>
                <c:pt idx="152">
                  <c:v>223</c:v>
                </c:pt>
                <c:pt idx="153">
                  <c:v>300</c:v>
                </c:pt>
                <c:pt idx="154">
                  <c:v>237</c:v>
                </c:pt>
                <c:pt idx="155">
                  <c:v>476</c:v>
                </c:pt>
                <c:pt idx="156">
                  <c:v>281</c:v>
                </c:pt>
                <c:pt idx="157">
                  <c:v>377</c:v>
                </c:pt>
                <c:pt idx="158">
                  <c:v>519</c:v>
                </c:pt>
                <c:pt idx="159">
                  <c:v>349</c:v>
                </c:pt>
                <c:pt idx="161">
                  <c:v>841</c:v>
                </c:pt>
                <c:pt idx="162">
                  <c:v>906</c:v>
                </c:pt>
                <c:pt idx="164">
                  <c:v>1,168</c:v>
                </c:pt>
                <c:pt idx="165">
                  <c:v>863</c:v>
                </c:pt>
                <c:pt idx="166">
                  <c:v>1,044</c:v>
                </c:pt>
                <c:pt idx="167">
                  <c:v>1,258</c:v>
                </c:pt>
                <c:pt idx="168">
                  <c:v>1,119</c:v>
                </c:pt>
                <c:pt idx="169">
                  <c:v>850</c:v>
                </c:pt>
                <c:pt idx="170">
                  <c:v>1,008</c:v>
                </c:pt>
                <c:pt idx="171">
                  <c:v>11</c:v>
                </c:pt>
                <c:pt idx="172">
                  <c:v>987</c:v>
                </c:pt>
                <c:pt idx="173">
                  <c:v>1,004</c:v>
                </c:pt>
                <c:pt idx="174">
                  <c:v>818</c:v>
                </c:pt>
                <c:pt idx="175">
                  <c:v>1,001</c:v>
                </c:pt>
                <c:pt idx="176">
                  <c:v>1,043</c:v>
                </c:pt>
                <c:pt idx="177">
                  <c:v>936</c:v>
                </c:pt>
                <c:pt idx="179">
                  <c:v>1,021</c:v>
                </c:pt>
                <c:pt idx="180">
                  <c:v>1,447</c:v>
                </c:pt>
                <c:pt idx="181">
                  <c:v>1,163</c:v>
                </c:pt>
                <c:pt idx="182">
                  <c:v>1,175</c:v>
                </c:pt>
                <c:pt idx="183">
                  <c:v>1,085</c:v>
                </c:pt>
                <c:pt idx="184">
                  <c:v>1,083</c:v>
                </c:pt>
                <c:pt idx="185">
                  <c:v>1,168</c:v>
                </c:pt>
                <c:pt idx="186">
                  <c:v>1,123</c:v>
                </c:pt>
                <c:pt idx="188">
                  <c:v>1,158</c:v>
                </c:pt>
                <c:pt idx="190">
                  <c:v>1,299</c:v>
                </c:pt>
                <c:pt idx="191">
                  <c:v>1,301</c:v>
                </c:pt>
                <c:pt idx="192">
                  <c:v>1,227</c:v>
                </c:pt>
                <c:pt idx="193">
                  <c:v>1,276</c:v>
                </c:pt>
                <c:pt idx="195">
                  <c:v>38</c:v>
                </c:pt>
                <c:pt idx="197">
                  <c:v>75</c:v>
                </c:pt>
                <c:pt idx="199">
                  <c:v>209</c:v>
                </c:pt>
                <c:pt idx="201">
                  <c:v>324</c:v>
                </c:pt>
                <c:pt idx="203">
                  <c:v>230</c:v>
                </c:pt>
                <c:pt idx="205">
                  <c:v>1,266</c:v>
                </c:pt>
                <c:pt idx="206">
                  <c:v>1,817</c:v>
                </c:pt>
                <c:pt idx="207">
                  <c:v>1,938</c:v>
                </c:pt>
                <c:pt idx="208">
                  <c:v>1,939</c:v>
                </c:pt>
                <c:pt idx="209">
                  <c:v>2,174</c:v>
                </c:pt>
                <c:pt idx="210">
                  <c:v>2,128</c:v>
                </c:pt>
                <c:pt idx="211">
                  <c:v>2,039</c:v>
                </c:pt>
                <c:pt idx="212">
                  <c:v>2,190</c:v>
                </c:pt>
                <c:pt idx="213">
                  <c:v>2,031</c:v>
                </c:pt>
                <c:pt idx="214">
                  <c:v>2,102</c:v>
                </c:pt>
                <c:pt idx="215">
                  <c:v>2,011</c:v>
                </c:pt>
                <c:pt idx="216">
                  <c:v>1,881</c:v>
                </c:pt>
                <c:pt idx="217">
                  <c:v>1,960</c:v>
                </c:pt>
                <c:pt idx="219">
                  <c:v>203</c:v>
                </c:pt>
                <c:pt idx="221">
                  <c:v>776</c:v>
                </c:pt>
                <c:pt idx="223">
                  <c:v>322</c:v>
                </c:pt>
                <c:pt idx="226">
                  <c:v>525</c:v>
                </c:pt>
                <c:pt idx="227">
                  <c:v>421</c:v>
                </c:pt>
                <c:pt idx="228">
                  <c:v>473</c:v>
                </c:pt>
                <c:pt idx="230">
                  <c:v>921</c:v>
                </c:pt>
                <c:pt idx="231">
                  <c:v>908</c:v>
                </c:pt>
                <c:pt idx="232">
                  <c:v>403</c:v>
                </c:pt>
                <c:pt idx="236">
                  <c:v>744</c:v>
                </c:pt>
                <c:pt idx="238">
                  <c:v>915</c:v>
                </c:pt>
                <c:pt idx="239">
                  <c:v>869</c:v>
                </c:pt>
                <c:pt idx="240">
                  <c:v>1,213</c:v>
                </c:pt>
                <c:pt idx="241">
                  <c:v>1,535</c:v>
                </c:pt>
                <c:pt idx="243">
                  <c:v>1,133</c:v>
                </c:pt>
                <c:pt idx="246">
                  <c:v>407</c:v>
                </c:pt>
                <c:pt idx="247">
                  <c:v>239</c:v>
                </c:pt>
                <c:pt idx="248">
                  <c:v>316</c:v>
                </c:pt>
                <c:pt idx="249">
                  <c:v>221</c:v>
                </c:pt>
                <c:pt idx="250">
                  <c:v>506</c:v>
                </c:pt>
                <c:pt idx="251">
                  <c:v>317</c:v>
                </c:pt>
                <c:pt idx="252">
                  <c:v>453</c:v>
                </c:pt>
                <c:pt idx="253">
                  <c:v>559</c:v>
                </c:pt>
                <c:pt idx="254">
                  <c:v>377</c:v>
                </c:pt>
                <c:pt idx="267">
                  <c:v>429</c:v>
                </c:pt>
                <c:pt idx="268">
                  <c:v>350</c:v>
                </c:pt>
                <c:pt idx="269">
                  <c:v>255</c:v>
                </c:pt>
                <c:pt idx="270">
                  <c:v>300</c:v>
                </c:pt>
                <c:pt idx="271">
                  <c:v>470</c:v>
                </c:pt>
                <c:pt idx="272">
                  <c:v>372</c:v>
                </c:pt>
                <c:pt idx="273">
                  <c:v>363</c:v>
                </c:pt>
                <c:pt idx="275">
                  <c:v>408</c:v>
                </c:pt>
                <c:pt idx="276">
                  <c:v>245</c:v>
                </c:pt>
                <c:pt idx="277">
                  <c:v>259</c:v>
                </c:pt>
                <c:pt idx="278">
                  <c:v>234</c:v>
                </c:pt>
                <c:pt idx="279">
                  <c:v>503</c:v>
                </c:pt>
                <c:pt idx="280">
                  <c:v>317</c:v>
                </c:pt>
                <c:pt idx="281">
                  <c:v>328</c:v>
                </c:pt>
                <c:pt idx="300">
                  <c:v>712</c:v>
                </c:pt>
                <c:pt idx="301">
                  <c:v>398</c:v>
                </c:pt>
                <c:pt idx="302">
                  <c:v>467</c:v>
                </c:pt>
                <c:pt idx="303">
                  <c:v>372</c:v>
                </c:pt>
                <c:pt idx="304">
                  <c:v>682</c:v>
                </c:pt>
                <c:pt idx="305">
                  <c:v>492</c:v>
                </c:pt>
                <c:pt idx="307">
                  <c:v>556</c:v>
                </c:pt>
                <c:pt idx="308">
                  <c:v>526</c:v>
                </c:pt>
                <c:pt idx="322">
                  <c:v>473</c:v>
                </c:pt>
                <c:pt idx="323">
                  <c:v>279</c:v>
                </c:pt>
                <c:pt idx="324">
                  <c:v>306</c:v>
                </c:pt>
                <c:pt idx="325">
                  <c:v>275</c:v>
                </c:pt>
                <c:pt idx="326">
                  <c:v>533</c:v>
                </c:pt>
                <c:pt idx="327">
                  <c:v>370</c:v>
                </c:pt>
                <c:pt idx="328">
                  <c:v>373</c:v>
                </c:pt>
                <c:pt idx="367">
                  <c:v>1,703</c:v>
                </c:pt>
                <c:pt idx="368">
                  <c:v>474</c:v>
                </c:pt>
                <c:pt idx="369">
                  <c:v>1,072</c:v>
                </c:pt>
                <c:pt idx="370">
                  <c:v>656</c:v>
                </c:pt>
                <c:pt idx="371">
                  <c:v>1,837</c:v>
                </c:pt>
                <c:pt idx="372">
                  <c:v>1,230</c:v>
                </c:pt>
                <c:pt idx="373">
                  <c:v>1,162</c:v>
                </c:pt>
                <c:pt idx="385">
                  <c:v>475</c:v>
                </c:pt>
                <c:pt idx="386">
                  <c:v>283</c:v>
                </c:pt>
                <c:pt idx="387">
                  <c:v>342</c:v>
                </c:pt>
                <c:pt idx="388">
                  <c:v>293</c:v>
                </c:pt>
                <c:pt idx="389">
                  <c:v>530</c:v>
                </c:pt>
                <c:pt idx="390">
                  <c:v>381</c:v>
                </c:pt>
                <c:pt idx="391">
                  <c:v>384</c:v>
                </c:pt>
                <c:pt idx="417">
                  <c:v>429</c:v>
                </c:pt>
                <c:pt idx="418">
                  <c:v>290</c:v>
                </c:pt>
                <c:pt idx="419">
                  <c:v>342</c:v>
                </c:pt>
                <c:pt idx="420">
                  <c:v>303</c:v>
                </c:pt>
                <c:pt idx="421">
                  <c:v>436</c:v>
                </c:pt>
                <c:pt idx="422">
                  <c:v>393</c:v>
                </c:pt>
                <c:pt idx="423">
                  <c:v>206</c:v>
                </c:pt>
                <c:pt idx="424">
                  <c:v>343</c:v>
                </c:pt>
                <c:pt idx="426">
                  <c:v>260</c:v>
                </c:pt>
                <c:pt idx="427">
                  <c:v>224</c:v>
                </c:pt>
                <c:pt idx="428">
                  <c:v>328</c:v>
                </c:pt>
                <c:pt idx="429">
                  <c:v>310</c:v>
                </c:pt>
                <c:pt idx="430">
                  <c:v>170</c:v>
                </c:pt>
                <c:pt idx="431">
                  <c:v>392</c:v>
                </c:pt>
                <c:pt idx="432">
                  <c:v>438</c:v>
                </c:pt>
                <c:pt idx="434">
                  <c:v>322</c:v>
                </c:pt>
                <c:pt idx="436">
                  <c:v>366</c:v>
                </c:pt>
                <c:pt idx="437">
                  <c:v>454</c:v>
                </c:pt>
                <c:pt idx="439">
                  <c:v>618</c:v>
                </c:pt>
                <c:pt idx="440">
                  <c:v>718</c:v>
                </c:pt>
                <c:pt idx="441">
                  <c:v>588</c:v>
                </c:pt>
                <c:pt idx="442">
                  <c:v>597</c:v>
                </c:pt>
                <c:pt idx="443">
                  <c:v>649</c:v>
                </c:pt>
                <c:pt idx="444">
                  <c:v>680</c:v>
                </c:pt>
                <c:pt idx="445">
                  <c:v>665</c:v>
                </c:pt>
                <c:pt idx="446">
                  <c:v>685</c:v>
                </c:pt>
                <c:pt idx="447">
                  <c:v>628</c:v>
                </c:pt>
                <c:pt idx="448">
                  <c:v>730</c:v>
                </c:pt>
                <c:pt idx="449">
                  <c:v>675</c:v>
                </c:pt>
                <c:pt idx="451">
                  <c:v>616</c:v>
                </c:pt>
                <c:pt idx="452">
                  <c:v>711</c:v>
                </c:pt>
                <c:pt idx="454">
                  <c:v>631</c:v>
                </c:pt>
                <c:pt idx="455">
                  <c:v>736</c:v>
                </c:pt>
                <c:pt idx="456">
                  <c:v>674</c:v>
                </c:pt>
                <c:pt idx="457">
                  <c:v>617</c:v>
                </c:pt>
                <c:pt idx="458">
                  <c:v>703</c:v>
                </c:pt>
                <c:pt idx="459">
                  <c:v>704</c:v>
                </c:pt>
                <c:pt idx="460">
                  <c:v>713</c:v>
                </c:pt>
                <c:pt idx="461">
                  <c:v>659</c:v>
                </c:pt>
                <c:pt idx="462">
                  <c:v>679</c:v>
                </c:pt>
                <c:pt idx="463">
                  <c:v>686</c:v>
                </c:pt>
                <c:pt idx="464">
                  <c:v>706</c:v>
                </c:pt>
                <c:pt idx="465">
                  <c:v>690</c:v>
                </c:pt>
                <c:pt idx="466">
                  <c:v>541</c:v>
                </c:pt>
                <c:pt idx="468">
                  <c:v>634</c:v>
                </c:pt>
                <c:pt idx="469">
                  <c:v>727</c:v>
                </c:pt>
                <c:pt idx="470">
                  <c:v>676</c:v>
                </c:pt>
                <c:pt idx="471">
                  <c:v>605</c:v>
                </c:pt>
                <c:pt idx="472">
                  <c:v>714</c:v>
                </c:pt>
                <c:pt idx="473">
                  <c:v>684</c:v>
                </c:pt>
                <c:pt idx="474">
                  <c:v>710</c:v>
                </c:pt>
                <c:pt idx="475">
                  <c:v>631</c:v>
                </c:pt>
                <c:pt idx="476">
                  <c:v>736</c:v>
                </c:pt>
                <c:pt idx="477">
                  <c:v>679</c:v>
                </c:pt>
                <c:pt idx="478">
                  <c:v>692</c:v>
                </c:pt>
                <c:pt idx="479">
                  <c:v>683</c:v>
                </c:pt>
                <c:pt idx="480">
                  <c:v>689</c:v>
                </c:pt>
                <c:pt idx="482">
                  <c:v>429</c:v>
                </c:pt>
                <c:pt idx="483">
                  <c:v>481</c:v>
                </c:pt>
                <c:pt idx="484">
                  <c:v>457</c:v>
                </c:pt>
                <c:pt idx="485">
                  <c:v>481</c:v>
                </c:pt>
                <c:pt idx="486">
                  <c:v>466</c:v>
                </c:pt>
                <c:pt idx="487">
                  <c:v>458</c:v>
                </c:pt>
                <c:pt idx="488">
                  <c:v>544</c:v>
                </c:pt>
                <c:pt idx="489">
                  <c:v>469</c:v>
                </c:pt>
                <c:pt idx="490">
                  <c:v>439</c:v>
                </c:pt>
                <c:pt idx="491">
                  <c:v>461</c:v>
                </c:pt>
                <c:pt idx="492">
                  <c:v>434</c:v>
                </c:pt>
                <c:pt idx="493">
                  <c:v>438</c:v>
                </c:pt>
                <c:pt idx="494">
                  <c:v>425</c:v>
                </c:pt>
                <c:pt idx="495">
                  <c:v>409</c:v>
                </c:pt>
                <c:pt idx="497">
                  <c:v>372</c:v>
                </c:pt>
                <c:pt idx="498">
                  <c:v>190</c:v>
                </c:pt>
                <c:pt idx="500">
                  <c:v>374</c:v>
                </c:pt>
                <c:pt idx="501">
                  <c:v>420</c:v>
                </c:pt>
                <c:pt idx="502">
                  <c:v>456</c:v>
                </c:pt>
                <c:pt idx="504">
                  <c:v>314</c:v>
                </c:pt>
                <c:pt idx="505">
                  <c:v>477</c:v>
                </c:pt>
                <c:pt idx="506">
                  <c:v>523</c:v>
                </c:pt>
                <c:pt idx="508">
                  <c:v>151</c:v>
                </c:pt>
                <c:pt idx="509">
                  <c:v>243</c:v>
                </c:pt>
                <c:pt idx="510">
                  <c:v>127</c:v>
                </c:pt>
                <c:pt idx="512">
                  <c:v>334</c:v>
                </c:pt>
                <c:pt idx="513">
                  <c:v>503</c:v>
                </c:pt>
                <c:pt idx="514">
                  <c:v>157</c:v>
                </c:pt>
                <c:pt idx="515">
                  <c:v>229</c:v>
                </c:pt>
                <c:pt idx="517">
                  <c:v>116</c:v>
                </c:pt>
                <c:pt idx="518">
                  <c:v>220</c:v>
                </c:pt>
                <c:pt idx="519">
                  <c:v>163</c:v>
                </c:pt>
                <c:pt idx="521">
                  <c:v>484</c:v>
                </c:pt>
                <c:pt idx="522">
                  <c:v>322</c:v>
                </c:pt>
                <c:pt idx="523">
                  <c:v>368</c:v>
                </c:pt>
                <c:pt idx="524">
                  <c:v>326</c:v>
                </c:pt>
                <c:pt idx="526">
                  <c:v>&gt;4000</c:v>
                </c:pt>
                <c:pt idx="527">
                  <c:v>&gt;4000</c:v>
                </c:pt>
                <c:pt idx="529">
                  <c:v>1304</c:v>
                </c:pt>
                <c:pt idx="531">
                  <c:v>464</c:v>
                </c:pt>
                <c:pt idx="532">
                  <c:v>313</c:v>
                </c:pt>
                <c:pt idx="534">
                  <c:v>289</c:v>
                </c:pt>
                <c:pt idx="535">
                  <c:v>449</c:v>
                </c:pt>
                <c:pt idx="536">
                  <c:v>313</c:v>
                </c:pt>
                <c:pt idx="538">
                  <c:v>630</c:v>
                </c:pt>
              </c:strCache>
            </c:strRef>
          </c:xVal>
          <c:yVal>
            <c:numRef>
              <c:f>'Chemical Data'!$O$8:$O$551</c:f>
              <c:numCache>
                <c:formatCode>#,##0</c:formatCode>
                <c:ptCount val="544"/>
                <c:pt idx="0">
                  <c:v>156.6</c:v>
                </c:pt>
                <c:pt idx="1">
                  <c:v>150.30000000000001</c:v>
                </c:pt>
                <c:pt idx="2" formatCode="0.00">
                  <c:v>153.44999999999999</c:v>
                </c:pt>
                <c:pt idx="4">
                  <c:v>81</c:v>
                </c:pt>
                <c:pt idx="5">
                  <c:v>68.3</c:v>
                </c:pt>
                <c:pt idx="6" formatCode="0.00">
                  <c:v>74.650000000000006</c:v>
                </c:pt>
                <c:pt idx="8">
                  <c:v>81</c:v>
                </c:pt>
                <c:pt idx="9">
                  <c:v>224</c:v>
                </c:pt>
                <c:pt idx="10" formatCode="0.00">
                  <c:v>152.5</c:v>
                </c:pt>
                <c:pt idx="12">
                  <c:v>443</c:v>
                </c:pt>
                <c:pt idx="13">
                  <c:v>316</c:v>
                </c:pt>
                <c:pt idx="14" formatCode="0.00">
                  <c:v>379.5</c:v>
                </c:pt>
                <c:pt idx="17">
                  <c:v>556</c:v>
                </c:pt>
                <c:pt idx="18">
                  <c:v>466</c:v>
                </c:pt>
                <c:pt idx="19" formatCode="0.00">
                  <c:v>511</c:v>
                </c:pt>
                <c:pt idx="21">
                  <c:v>453</c:v>
                </c:pt>
                <c:pt idx="22">
                  <c:v>329</c:v>
                </c:pt>
                <c:pt idx="23" formatCode="0.00">
                  <c:v>391</c:v>
                </c:pt>
                <c:pt idx="26">
                  <c:v>240</c:v>
                </c:pt>
                <c:pt idx="27">
                  <c:v>151.19999999999999</c:v>
                </c:pt>
                <c:pt idx="28" formatCode="0.00">
                  <c:v>195.6</c:v>
                </c:pt>
                <c:pt idx="31">
                  <c:v>187.5</c:v>
                </c:pt>
                <c:pt idx="32">
                  <c:v>139.80000000000001</c:v>
                </c:pt>
                <c:pt idx="33" formatCode="0.00">
                  <c:v>163.65</c:v>
                </c:pt>
                <c:pt idx="35">
                  <c:v>416</c:v>
                </c:pt>
                <c:pt idx="36">
                  <c:v>275</c:v>
                </c:pt>
                <c:pt idx="37">
                  <c:v>332</c:v>
                </c:pt>
                <c:pt idx="38">
                  <c:v>277</c:v>
                </c:pt>
                <c:pt idx="39">
                  <c:v>446</c:v>
                </c:pt>
                <c:pt idx="40">
                  <c:v>334</c:v>
                </c:pt>
                <c:pt idx="41">
                  <c:v>346.66666666666669</c:v>
                </c:pt>
                <c:pt idx="43">
                  <c:v>595</c:v>
                </c:pt>
                <c:pt idx="44">
                  <c:v>490</c:v>
                </c:pt>
                <c:pt idx="45" formatCode="0.00">
                  <c:v>542.5</c:v>
                </c:pt>
                <c:pt idx="48">
                  <c:v>314</c:v>
                </c:pt>
                <c:pt idx="49">
                  <c:v>294</c:v>
                </c:pt>
                <c:pt idx="50" formatCode="0.00">
                  <c:v>304</c:v>
                </c:pt>
                <c:pt idx="53">
                  <c:v>90.1</c:v>
                </c:pt>
                <c:pt idx="54" formatCode="0.00">
                  <c:v>90.1</c:v>
                </c:pt>
                <c:pt idx="69">
                  <c:v>440</c:v>
                </c:pt>
                <c:pt idx="70">
                  <c:v>291</c:v>
                </c:pt>
                <c:pt idx="71">
                  <c:v>234</c:v>
                </c:pt>
                <c:pt idx="72">
                  <c:v>194</c:v>
                </c:pt>
                <c:pt idx="73">
                  <c:v>463</c:v>
                </c:pt>
                <c:pt idx="74">
                  <c:v>348</c:v>
                </c:pt>
                <c:pt idx="75">
                  <c:v>328.33333333333331</c:v>
                </c:pt>
                <c:pt idx="78">
                  <c:v>354</c:v>
                </c:pt>
                <c:pt idx="79">
                  <c:v>194.3</c:v>
                </c:pt>
                <c:pt idx="80">
                  <c:v>347</c:v>
                </c:pt>
                <c:pt idx="81">
                  <c:v>190</c:v>
                </c:pt>
                <c:pt idx="82">
                  <c:v>460</c:v>
                </c:pt>
                <c:pt idx="83" formatCode="General">
                  <c:v>262</c:v>
                </c:pt>
                <c:pt idx="84">
                  <c:v>301.21666666666664</c:v>
                </c:pt>
                <c:pt idx="99">
                  <c:v>384</c:v>
                </c:pt>
                <c:pt idx="100">
                  <c:v>230</c:v>
                </c:pt>
                <c:pt idx="101">
                  <c:v>273</c:v>
                </c:pt>
                <c:pt idx="102">
                  <c:v>231</c:v>
                </c:pt>
                <c:pt idx="103">
                  <c:v>504</c:v>
                </c:pt>
                <c:pt idx="104" formatCode="General">
                  <c:v>300</c:v>
                </c:pt>
                <c:pt idx="105">
                  <c:v>320.33333333333331</c:v>
                </c:pt>
                <c:pt idx="130">
                  <c:v>1332</c:v>
                </c:pt>
                <c:pt idx="131">
                  <c:v>1334</c:v>
                </c:pt>
                <c:pt idx="132">
                  <c:v>1321</c:v>
                </c:pt>
                <c:pt idx="133">
                  <c:v>1160</c:v>
                </c:pt>
                <c:pt idx="134">
                  <c:v>1216</c:v>
                </c:pt>
                <c:pt idx="135">
                  <c:v>1212</c:v>
                </c:pt>
                <c:pt idx="136">
                  <c:v>1262.5</c:v>
                </c:pt>
                <c:pt idx="151">
                  <c:v>382</c:v>
                </c:pt>
                <c:pt idx="152">
                  <c:v>229</c:v>
                </c:pt>
                <c:pt idx="153">
                  <c:v>258</c:v>
                </c:pt>
                <c:pt idx="154">
                  <c:v>203</c:v>
                </c:pt>
                <c:pt idx="155">
                  <c:v>458</c:v>
                </c:pt>
                <c:pt idx="156">
                  <c:v>289</c:v>
                </c:pt>
                <c:pt idx="159" formatCode="0">
                  <c:v>303.16666666666669</c:v>
                </c:pt>
                <c:pt idx="163">
                  <c:v>1038</c:v>
                </c:pt>
                <c:pt idx="165">
                  <c:v>975</c:v>
                </c:pt>
                <c:pt idx="167">
                  <c:v>934</c:v>
                </c:pt>
                <c:pt idx="169">
                  <c:v>1003</c:v>
                </c:pt>
                <c:pt idx="171">
                  <c:v>1036</c:v>
                </c:pt>
                <c:pt idx="172" formatCode="General">
                  <c:v>992</c:v>
                </c:pt>
                <c:pt idx="177">
                  <c:v>996.33333333333337</c:v>
                </c:pt>
                <c:pt idx="188">
                  <c:v>0</c:v>
                </c:pt>
                <c:pt idx="190">
                  <c:v>1220</c:v>
                </c:pt>
                <c:pt idx="191">
                  <c:v>1253</c:v>
                </c:pt>
                <c:pt idx="192">
                  <c:v>1216</c:v>
                </c:pt>
                <c:pt idx="193">
                  <c:v>1229.6666666666667</c:v>
                </c:pt>
                <c:pt idx="226">
                  <c:v>534</c:v>
                </c:pt>
                <c:pt idx="227">
                  <c:v>443</c:v>
                </c:pt>
                <c:pt idx="228">
                  <c:v>488.5</c:v>
                </c:pt>
                <c:pt idx="236">
                  <c:v>0</c:v>
                </c:pt>
                <c:pt idx="243">
                  <c:v>0</c:v>
                </c:pt>
                <c:pt idx="246">
                  <c:v>410</c:v>
                </c:pt>
                <c:pt idx="247">
                  <c:v>244</c:v>
                </c:pt>
                <c:pt idx="248">
                  <c:v>294</c:v>
                </c:pt>
                <c:pt idx="249">
                  <c:v>249</c:v>
                </c:pt>
                <c:pt idx="250">
                  <c:v>485</c:v>
                </c:pt>
                <c:pt idx="251">
                  <c:v>321</c:v>
                </c:pt>
                <c:pt idx="254" formatCode="0">
                  <c:v>333.83333333333331</c:v>
                </c:pt>
                <c:pt idx="267">
                  <c:v>435</c:v>
                </c:pt>
                <c:pt idx="268">
                  <c:v>361</c:v>
                </c:pt>
                <c:pt idx="269">
                  <c:v>369</c:v>
                </c:pt>
                <c:pt idx="270">
                  <c:v>330</c:v>
                </c:pt>
                <c:pt idx="271">
                  <c:v>444</c:v>
                </c:pt>
                <c:pt idx="272">
                  <c:v>381</c:v>
                </c:pt>
                <c:pt idx="273">
                  <c:v>386.66666666666669</c:v>
                </c:pt>
                <c:pt idx="275">
                  <c:v>413</c:v>
                </c:pt>
                <c:pt idx="276">
                  <c:v>253</c:v>
                </c:pt>
                <c:pt idx="277">
                  <c:v>297</c:v>
                </c:pt>
                <c:pt idx="278">
                  <c:v>255</c:v>
                </c:pt>
                <c:pt idx="279">
                  <c:v>482</c:v>
                </c:pt>
                <c:pt idx="280">
                  <c:v>322</c:v>
                </c:pt>
                <c:pt idx="281">
                  <c:v>337</c:v>
                </c:pt>
                <c:pt idx="300">
                  <c:v>728</c:v>
                </c:pt>
                <c:pt idx="301">
                  <c:v>404</c:v>
                </c:pt>
                <c:pt idx="302">
                  <c:v>478</c:v>
                </c:pt>
                <c:pt idx="303">
                  <c:v>405</c:v>
                </c:pt>
                <c:pt idx="304">
                  <c:v>672</c:v>
                </c:pt>
                <c:pt idx="305" formatCode="General">
                  <c:v>514</c:v>
                </c:pt>
                <c:pt idx="308">
                  <c:v>533.5</c:v>
                </c:pt>
                <c:pt idx="322">
                  <c:v>471</c:v>
                </c:pt>
                <c:pt idx="323">
                  <c:v>288</c:v>
                </c:pt>
                <c:pt idx="324">
                  <c:v>338</c:v>
                </c:pt>
                <c:pt idx="325">
                  <c:v>296</c:v>
                </c:pt>
                <c:pt idx="326">
                  <c:v>511</c:v>
                </c:pt>
                <c:pt idx="327">
                  <c:v>381</c:v>
                </c:pt>
                <c:pt idx="328">
                  <c:v>380.83333333333331</c:v>
                </c:pt>
                <c:pt idx="367">
                  <c:v>1741</c:v>
                </c:pt>
                <c:pt idx="368">
                  <c:v>504</c:v>
                </c:pt>
                <c:pt idx="369">
                  <c:v>1165</c:v>
                </c:pt>
                <c:pt idx="370">
                  <c:v>729</c:v>
                </c:pt>
                <c:pt idx="371">
                  <c:v>2100</c:v>
                </c:pt>
                <c:pt idx="372">
                  <c:v>1238</c:v>
                </c:pt>
                <c:pt idx="373">
                  <c:v>1246.1666666666667</c:v>
                </c:pt>
                <c:pt idx="385">
                  <c:v>479</c:v>
                </c:pt>
                <c:pt idx="386">
                  <c:v>288</c:v>
                </c:pt>
                <c:pt idx="387">
                  <c:v>330</c:v>
                </c:pt>
                <c:pt idx="388">
                  <c:v>307</c:v>
                </c:pt>
                <c:pt idx="389">
                  <c:v>526</c:v>
                </c:pt>
                <c:pt idx="390">
                  <c:v>373</c:v>
                </c:pt>
                <c:pt idx="391">
                  <c:v>383.83333333333331</c:v>
                </c:pt>
                <c:pt idx="417">
                  <c:v>427</c:v>
                </c:pt>
                <c:pt idx="418">
                  <c:v>296</c:v>
                </c:pt>
                <c:pt idx="419">
                  <c:v>336</c:v>
                </c:pt>
                <c:pt idx="420">
                  <c:v>317</c:v>
                </c:pt>
                <c:pt idx="421">
                  <c:v>431</c:v>
                </c:pt>
                <c:pt idx="422" formatCode="General">
                  <c:v>386</c:v>
                </c:pt>
                <c:pt idx="424">
                  <c:v>365.5</c:v>
                </c:pt>
                <c:pt idx="426">
                  <c:v>259</c:v>
                </c:pt>
                <c:pt idx="427">
                  <c:v>238</c:v>
                </c:pt>
                <c:pt idx="428">
                  <c:v>367</c:v>
                </c:pt>
                <c:pt idx="429">
                  <c:v>303</c:v>
                </c:pt>
                <c:pt idx="430" formatCode="0.00">
                  <c:v>0</c:v>
                </c:pt>
                <c:pt idx="434">
                  <c:v>315</c:v>
                </c:pt>
                <c:pt idx="439">
                  <c:v>675</c:v>
                </c:pt>
                <c:pt idx="440">
                  <c:v>664</c:v>
                </c:pt>
                <c:pt idx="441">
                  <c:v>0</c:v>
                </c:pt>
                <c:pt idx="454">
                  <c:v>704</c:v>
                </c:pt>
                <c:pt idx="455">
                  <c:v>697</c:v>
                </c:pt>
                <c:pt idx="468">
                  <c:v>709</c:v>
                </c:pt>
                <c:pt idx="469">
                  <c:v>693</c:v>
                </c:pt>
                <c:pt idx="482">
                  <c:v>438</c:v>
                </c:pt>
                <c:pt idx="483">
                  <c:v>418</c:v>
                </c:pt>
                <c:pt idx="484" formatCode="0.00">
                  <c:v>0</c:v>
                </c:pt>
                <c:pt idx="497" formatCode="General">
                  <c:v>361</c:v>
                </c:pt>
                <c:pt idx="498" formatCode="0">
                  <c:v>0</c:v>
                </c:pt>
                <c:pt idx="500">
                  <c:v>394</c:v>
                </c:pt>
                <c:pt idx="501">
                  <c:v>457</c:v>
                </c:pt>
                <c:pt idx="502">
                  <c:v>445</c:v>
                </c:pt>
                <c:pt idx="503" formatCode="0">
                  <c:v>0</c:v>
                </c:pt>
                <c:pt idx="508">
                  <c:v>153.9</c:v>
                </c:pt>
                <c:pt idx="509">
                  <c:v>243</c:v>
                </c:pt>
                <c:pt idx="510" formatCode="0">
                  <c:v>0</c:v>
                </c:pt>
                <c:pt idx="512">
                  <c:v>328</c:v>
                </c:pt>
                <c:pt idx="513">
                  <c:v>482</c:v>
                </c:pt>
                <c:pt idx="514">
                  <c:v>152.4</c:v>
                </c:pt>
                <c:pt idx="515" formatCode="0">
                  <c:v>0</c:v>
                </c:pt>
                <c:pt idx="517">
                  <c:v>119</c:v>
                </c:pt>
                <c:pt idx="518">
                  <c:v>219</c:v>
                </c:pt>
                <c:pt idx="519">
                  <c:v>159.19999999999999</c:v>
                </c:pt>
                <c:pt idx="521">
                  <c:v>487</c:v>
                </c:pt>
                <c:pt idx="522">
                  <c:v>239</c:v>
                </c:pt>
                <c:pt idx="523">
                  <c:v>374</c:v>
                </c:pt>
                <c:pt idx="524" formatCode="General">
                  <c:v>364</c:v>
                </c:pt>
                <c:pt idx="526">
                  <c:v>6620</c:v>
                </c:pt>
                <c:pt idx="527" formatCode="General">
                  <c:v>6580</c:v>
                </c:pt>
                <c:pt idx="531">
                  <c:v>470</c:v>
                </c:pt>
                <c:pt idx="532">
                  <c:v>323</c:v>
                </c:pt>
                <c:pt idx="533">
                  <c:v>371</c:v>
                </c:pt>
                <c:pt idx="534">
                  <c:v>315</c:v>
                </c:pt>
                <c:pt idx="535">
                  <c:v>441</c:v>
                </c:pt>
                <c:pt idx="536">
                  <c:v>362</c:v>
                </c:pt>
                <c:pt idx="538">
                  <c:v>671</c:v>
                </c:pt>
              </c:numCache>
            </c:numRef>
          </c:yVal>
          <c:smooth val="0"/>
          <c:extLst>
            <c:ext xmlns:c16="http://schemas.microsoft.com/office/drawing/2014/chart" uri="{C3380CC4-5D6E-409C-BE32-E72D297353CC}">
              <c16:uniqueId val="{00000000-6ABB-4617-9F25-2ACB1FBEFE51}"/>
            </c:ext>
          </c:extLst>
        </c:ser>
        <c:dLbls>
          <c:showLegendKey val="0"/>
          <c:showVal val="0"/>
          <c:showCatName val="0"/>
          <c:showSerName val="0"/>
          <c:showPercent val="0"/>
          <c:showBubbleSize val="0"/>
        </c:dLbls>
        <c:axId val="148053296"/>
        <c:axId val="148056208"/>
      </c:scatterChart>
      <c:valAx>
        <c:axId val="148053296"/>
        <c:scaling>
          <c:orientation val="minMax"/>
          <c:max val="2000"/>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Field cond</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8056208"/>
        <c:crosses val="autoZero"/>
        <c:crossBetween val="midCat"/>
      </c:valAx>
      <c:valAx>
        <c:axId val="148056208"/>
        <c:scaling>
          <c:orientation val="minMax"/>
          <c:max val="20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Lab cond</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8053296"/>
        <c:crosses val="autoZero"/>
        <c:crossBetween val="midCat"/>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Measured vs calcualted</a:t>
            </a:r>
            <a:r>
              <a:rPr lang="en-US" baseline="0"/>
              <a:t> acidity</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xVal>
            <c:strRef>
              <c:f>'Chemical Data'!$S$8:$S$551</c:f>
              <c:strCache>
                <c:ptCount val="543"/>
                <c:pt idx="0">
                  <c:v>-37</c:v>
                </c:pt>
                <c:pt idx="1">
                  <c:v>-23</c:v>
                </c:pt>
                <c:pt idx="2">
                  <c:v>-29.90</c:v>
                </c:pt>
                <c:pt idx="4">
                  <c:v>-12</c:v>
                </c:pt>
                <c:pt idx="5">
                  <c:v>-7</c:v>
                </c:pt>
                <c:pt idx="6">
                  <c:v>-9.30</c:v>
                </c:pt>
                <c:pt idx="8">
                  <c:v>-20</c:v>
                </c:pt>
                <c:pt idx="9">
                  <c:v>-30</c:v>
                </c:pt>
                <c:pt idx="10">
                  <c:v>-25.10</c:v>
                </c:pt>
                <c:pt idx="12">
                  <c:v>-67</c:v>
                </c:pt>
                <c:pt idx="13">
                  <c:v>-42</c:v>
                </c:pt>
                <c:pt idx="14">
                  <c:v>-54.90</c:v>
                </c:pt>
                <c:pt idx="17">
                  <c:v>-11</c:v>
                </c:pt>
                <c:pt idx="18">
                  <c:v>-15</c:v>
                </c:pt>
                <c:pt idx="19">
                  <c:v>-13.40</c:v>
                </c:pt>
                <c:pt idx="21">
                  <c:v>-63</c:v>
                </c:pt>
                <c:pt idx="22">
                  <c:v>-44</c:v>
                </c:pt>
                <c:pt idx="23">
                  <c:v>-53.80</c:v>
                </c:pt>
                <c:pt idx="26">
                  <c:v>-41</c:v>
                </c:pt>
                <c:pt idx="27">
                  <c:v>-20</c:v>
                </c:pt>
                <c:pt idx="28">
                  <c:v>-30.50</c:v>
                </c:pt>
                <c:pt idx="31">
                  <c:v>-36</c:v>
                </c:pt>
                <c:pt idx="32">
                  <c:v>-20</c:v>
                </c:pt>
                <c:pt idx="33">
                  <c:v>-27.90</c:v>
                </c:pt>
                <c:pt idx="35">
                  <c:v>-50</c:v>
                </c:pt>
                <c:pt idx="36">
                  <c:v>-36</c:v>
                </c:pt>
                <c:pt idx="37">
                  <c:v>-37</c:v>
                </c:pt>
                <c:pt idx="38">
                  <c:v>-31</c:v>
                </c:pt>
                <c:pt idx="39">
                  <c:v>-55</c:v>
                </c:pt>
                <c:pt idx="40">
                  <c:v>-47</c:v>
                </c:pt>
                <c:pt idx="41">
                  <c:v>-43</c:v>
                </c:pt>
                <c:pt idx="43">
                  <c:v>24</c:v>
                </c:pt>
                <c:pt idx="44">
                  <c:v>20</c:v>
                </c:pt>
                <c:pt idx="45">
                  <c:v>22.30</c:v>
                </c:pt>
                <c:pt idx="47">
                  <c:v>42</c:v>
                </c:pt>
                <c:pt idx="48">
                  <c:v>19</c:v>
                </c:pt>
                <c:pt idx="49">
                  <c:v>19</c:v>
                </c:pt>
                <c:pt idx="50">
                  <c:v>19.10</c:v>
                </c:pt>
                <c:pt idx="53">
                  <c:v>-1</c:v>
                </c:pt>
                <c:pt idx="54">
                  <c:v>-1.40</c:v>
                </c:pt>
                <c:pt idx="69">
                  <c:v>-52</c:v>
                </c:pt>
                <c:pt idx="70">
                  <c:v>-33</c:v>
                </c:pt>
                <c:pt idx="71">
                  <c:v>-73</c:v>
                </c:pt>
                <c:pt idx="72">
                  <c:v>-29</c:v>
                </c:pt>
                <c:pt idx="73">
                  <c:v>-54</c:v>
                </c:pt>
                <c:pt idx="74">
                  <c:v>-47</c:v>
                </c:pt>
                <c:pt idx="75">
                  <c:v>-48</c:v>
                </c:pt>
                <c:pt idx="78">
                  <c:v>-137</c:v>
                </c:pt>
                <c:pt idx="79">
                  <c:v>-55</c:v>
                </c:pt>
                <c:pt idx="80">
                  <c:v>-36</c:v>
                </c:pt>
                <c:pt idx="81">
                  <c:v>-50</c:v>
                </c:pt>
                <c:pt idx="82">
                  <c:v>-204</c:v>
                </c:pt>
                <c:pt idx="83">
                  <c:v>-96</c:v>
                </c:pt>
                <c:pt idx="84">
                  <c:v>-97</c:v>
                </c:pt>
                <c:pt idx="99">
                  <c:v>-98</c:v>
                </c:pt>
                <c:pt idx="100">
                  <c:v>-46</c:v>
                </c:pt>
                <c:pt idx="101">
                  <c:v>-57</c:v>
                </c:pt>
                <c:pt idx="102">
                  <c:v>-44</c:v>
                </c:pt>
                <c:pt idx="103">
                  <c:v>-137</c:v>
                </c:pt>
                <c:pt idx="104">
                  <c:v>-73</c:v>
                </c:pt>
                <c:pt idx="105">
                  <c:v>-76</c:v>
                </c:pt>
                <c:pt idx="107">
                  <c:v>297</c:v>
                </c:pt>
                <c:pt idx="108">
                  <c:v>392</c:v>
                </c:pt>
                <c:pt idx="109">
                  <c:v>404</c:v>
                </c:pt>
                <c:pt idx="110">
                  <c:v>394</c:v>
                </c:pt>
                <c:pt idx="111">
                  <c:v>368</c:v>
                </c:pt>
                <c:pt idx="112">
                  <c:v>340</c:v>
                </c:pt>
                <c:pt idx="113">
                  <c:v>398</c:v>
                </c:pt>
                <c:pt idx="114">
                  <c:v>448</c:v>
                </c:pt>
                <c:pt idx="115">
                  <c:v>186</c:v>
                </c:pt>
                <c:pt idx="116">
                  <c:v>164</c:v>
                </c:pt>
                <c:pt idx="117">
                  <c:v>364</c:v>
                </c:pt>
                <c:pt idx="118">
                  <c:v>524</c:v>
                </c:pt>
                <c:pt idx="119">
                  <c:v>419</c:v>
                </c:pt>
                <c:pt idx="120">
                  <c:v>402</c:v>
                </c:pt>
                <c:pt idx="121">
                  <c:v>431</c:v>
                </c:pt>
                <c:pt idx="122">
                  <c:v>435</c:v>
                </c:pt>
                <c:pt idx="123">
                  <c:v>470</c:v>
                </c:pt>
                <c:pt idx="124">
                  <c:v>463</c:v>
                </c:pt>
                <c:pt idx="125">
                  <c:v>489</c:v>
                </c:pt>
                <c:pt idx="126">
                  <c:v>490</c:v>
                </c:pt>
                <c:pt idx="127">
                  <c:v>396</c:v>
                </c:pt>
                <c:pt idx="128">
                  <c:v>426</c:v>
                </c:pt>
                <c:pt idx="129">
                  <c:v>390</c:v>
                </c:pt>
                <c:pt idx="130">
                  <c:v>377</c:v>
                </c:pt>
                <c:pt idx="131">
                  <c:v>373</c:v>
                </c:pt>
                <c:pt idx="132">
                  <c:v>330</c:v>
                </c:pt>
                <c:pt idx="133">
                  <c:v>297</c:v>
                </c:pt>
                <c:pt idx="134">
                  <c:v>317</c:v>
                </c:pt>
                <c:pt idx="135">
                  <c:v>301</c:v>
                </c:pt>
                <c:pt idx="136">
                  <c:v>333</c:v>
                </c:pt>
                <c:pt idx="151">
                  <c:v>-84</c:v>
                </c:pt>
                <c:pt idx="152">
                  <c:v>-44</c:v>
                </c:pt>
                <c:pt idx="153">
                  <c:v>-43</c:v>
                </c:pt>
                <c:pt idx="154">
                  <c:v>-32</c:v>
                </c:pt>
                <c:pt idx="155">
                  <c:v>-121</c:v>
                </c:pt>
                <c:pt idx="156">
                  <c:v>-63</c:v>
                </c:pt>
                <c:pt idx="157">
                  <c:v>-79</c:v>
                </c:pt>
                <c:pt idx="158">
                  <c:v>-147</c:v>
                </c:pt>
                <c:pt idx="159">
                  <c:v>-77</c:v>
                </c:pt>
                <c:pt idx="161">
                  <c:v>-57</c:v>
                </c:pt>
                <c:pt idx="162">
                  <c:v>-111</c:v>
                </c:pt>
                <c:pt idx="163">
                  <c:v>-82</c:v>
                </c:pt>
                <c:pt idx="164">
                  <c:v>-86</c:v>
                </c:pt>
                <c:pt idx="165">
                  <c:v>-53</c:v>
                </c:pt>
                <c:pt idx="166">
                  <c:v>-60</c:v>
                </c:pt>
                <c:pt idx="167">
                  <c:v>-70</c:v>
                </c:pt>
                <c:pt idx="168">
                  <c:v>-104</c:v>
                </c:pt>
                <c:pt idx="169">
                  <c:v>-80</c:v>
                </c:pt>
                <c:pt idx="170">
                  <c:v>-128</c:v>
                </c:pt>
                <c:pt idx="171">
                  <c:v>-124</c:v>
                </c:pt>
                <c:pt idx="172">
                  <c:v>-114</c:v>
                </c:pt>
                <c:pt idx="173">
                  <c:v>-69</c:v>
                </c:pt>
                <c:pt idx="174">
                  <c:v>-68</c:v>
                </c:pt>
                <c:pt idx="175">
                  <c:v>-124</c:v>
                </c:pt>
                <c:pt idx="176">
                  <c:v>-115</c:v>
                </c:pt>
                <c:pt idx="177">
                  <c:v>-91</c:v>
                </c:pt>
                <c:pt idx="179">
                  <c:v>143</c:v>
                </c:pt>
                <c:pt idx="180">
                  <c:v>170</c:v>
                </c:pt>
                <c:pt idx="181">
                  <c:v>153</c:v>
                </c:pt>
                <c:pt idx="182">
                  <c:v>155</c:v>
                </c:pt>
                <c:pt idx="183">
                  <c:v>193</c:v>
                </c:pt>
                <c:pt idx="184">
                  <c:v>164</c:v>
                </c:pt>
                <c:pt idx="185">
                  <c:v>198</c:v>
                </c:pt>
                <c:pt idx="186">
                  <c:v>350</c:v>
                </c:pt>
                <c:pt idx="188">
                  <c:v>191</c:v>
                </c:pt>
                <c:pt idx="190">
                  <c:v>241</c:v>
                </c:pt>
                <c:pt idx="191">
                  <c:v>226</c:v>
                </c:pt>
                <c:pt idx="192">
                  <c:v>234</c:v>
                </c:pt>
                <c:pt idx="193">
                  <c:v>233</c:v>
                </c:pt>
                <c:pt idx="205">
                  <c:v>294</c:v>
                </c:pt>
                <c:pt idx="206">
                  <c:v>513</c:v>
                </c:pt>
                <c:pt idx="207">
                  <c:v>519</c:v>
                </c:pt>
                <c:pt idx="208">
                  <c:v>589</c:v>
                </c:pt>
                <c:pt idx="209">
                  <c:v>583</c:v>
                </c:pt>
                <c:pt idx="210">
                  <c:v>353</c:v>
                </c:pt>
                <c:pt idx="211">
                  <c:v>658</c:v>
                </c:pt>
                <c:pt idx="212">
                  <c:v>684</c:v>
                </c:pt>
                <c:pt idx="213">
                  <c:v>695</c:v>
                </c:pt>
                <c:pt idx="214">
                  <c:v>659</c:v>
                </c:pt>
                <c:pt idx="215">
                  <c:v>648</c:v>
                </c:pt>
                <c:pt idx="216">
                  <c:v>669</c:v>
                </c:pt>
                <c:pt idx="217">
                  <c:v>572</c:v>
                </c:pt>
                <c:pt idx="219">
                  <c:v>10</c:v>
                </c:pt>
                <c:pt idx="223">
                  <c:v>26</c:v>
                </c:pt>
                <c:pt idx="225">
                  <c:v>52</c:v>
                </c:pt>
                <c:pt idx="226">
                  <c:v>36</c:v>
                </c:pt>
                <c:pt idx="227">
                  <c:v>35</c:v>
                </c:pt>
                <c:pt idx="228">
                  <c:v>36</c:v>
                </c:pt>
                <c:pt idx="230">
                  <c:v>145</c:v>
                </c:pt>
                <c:pt idx="231">
                  <c:v>206</c:v>
                </c:pt>
                <c:pt idx="232">
                  <c:v>81</c:v>
                </c:pt>
                <c:pt idx="236">
                  <c:v>144</c:v>
                </c:pt>
                <c:pt idx="238">
                  <c:v>199</c:v>
                </c:pt>
                <c:pt idx="239">
                  <c:v>153</c:v>
                </c:pt>
                <c:pt idx="240">
                  <c:v>349</c:v>
                </c:pt>
                <c:pt idx="241">
                  <c:v>247</c:v>
                </c:pt>
                <c:pt idx="243">
                  <c:v>237</c:v>
                </c:pt>
                <c:pt idx="246">
                  <c:v>-78</c:v>
                </c:pt>
                <c:pt idx="247">
                  <c:v>-37</c:v>
                </c:pt>
                <c:pt idx="248">
                  <c:v>-43</c:v>
                </c:pt>
                <c:pt idx="249">
                  <c:v>-33</c:v>
                </c:pt>
                <c:pt idx="250">
                  <c:v>-101</c:v>
                </c:pt>
                <c:pt idx="251">
                  <c:v>-58</c:v>
                </c:pt>
                <c:pt idx="252">
                  <c:v>-69</c:v>
                </c:pt>
                <c:pt idx="253">
                  <c:v>-115</c:v>
                </c:pt>
                <c:pt idx="254">
                  <c:v>-67</c:v>
                </c:pt>
                <c:pt idx="267">
                  <c:v>-3</c:v>
                </c:pt>
                <c:pt idx="268">
                  <c:v>-18</c:v>
                </c:pt>
                <c:pt idx="269">
                  <c:v>-3</c:v>
                </c:pt>
                <c:pt idx="270">
                  <c:v>-1</c:v>
                </c:pt>
                <c:pt idx="271">
                  <c:v>-4</c:v>
                </c:pt>
                <c:pt idx="272">
                  <c:v>-23</c:v>
                </c:pt>
                <c:pt idx="273">
                  <c:v>-9</c:v>
                </c:pt>
                <c:pt idx="275">
                  <c:v>-75</c:v>
                </c:pt>
                <c:pt idx="276">
                  <c:v>-35</c:v>
                </c:pt>
                <c:pt idx="277">
                  <c:v>-43</c:v>
                </c:pt>
                <c:pt idx="278">
                  <c:v>-33</c:v>
                </c:pt>
                <c:pt idx="279">
                  <c:v>-92</c:v>
                </c:pt>
                <c:pt idx="280">
                  <c:v>-56</c:v>
                </c:pt>
                <c:pt idx="281">
                  <c:v>-56</c:v>
                </c:pt>
                <c:pt idx="300">
                  <c:v>2</c:v>
                </c:pt>
                <c:pt idx="301">
                  <c:v>-33</c:v>
                </c:pt>
                <c:pt idx="302">
                  <c:v>-25</c:v>
                </c:pt>
                <c:pt idx="303">
                  <c:v>-26</c:v>
                </c:pt>
                <c:pt idx="304">
                  <c:v>-16</c:v>
                </c:pt>
                <c:pt idx="305">
                  <c:v>-32</c:v>
                </c:pt>
                <c:pt idx="306">
                  <c:v>-23</c:v>
                </c:pt>
                <c:pt idx="307">
                  <c:v>-23</c:v>
                </c:pt>
                <c:pt idx="308">
                  <c:v>-22</c:v>
                </c:pt>
                <c:pt idx="322">
                  <c:v>-62</c:v>
                </c:pt>
                <c:pt idx="323">
                  <c:v>-35</c:v>
                </c:pt>
                <c:pt idx="324">
                  <c:v>-40</c:v>
                </c:pt>
                <c:pt idx="325">
                  <c:v>-31</c:v>
                </c:pt>
                <c:pt idx="326">
                  <c:v>-80</c:v>
                </c:pt>
                <c:pt idx="327">
                  <c:v>-44</c:v>
                </c:pt>
                <c:pt idx="328">
                  <c:v>-49</c:v>
                </c:pt>
                <c:pt idx="330">
                  <c:v>622</c:v>
                </c:pt>
                <c:pt idx="331">
                  <c:v>382</c:v>
                </c:pt>
                <c:pt idx="332">
                  <c:v>932</c:v>
                </c:pt>
                <c:pt idx="333">
                  <c:v>8</c:v>
                </c:pt>
                <c:pt idx="334">
                  <c:v>573</c:v>
                </c:pt>
                <c:pt idx="335">
                  <c:v>1492</c:v>
                </c:pt>
                <c:pt idx="336">
                  <c:v>2382</c:v>
                </c:pt>
                <c:pt idx="337">
                  <c:v>1115</c:v>
                </c:pt>
                <c:pt idx="338">
                  <c:v>359</c:v>
                </c:pt>
                <c:pt idx="339">
                  <c:v>529</c:v>
                </c:pt>
                <c:pt idx="340">
                  <c:v>451</c:v>
                </c:pt>
                <c:pt idx="341">
                  <c:v>173</c:v>
                </c:pt>
                <c:pt idx="342">
                  <c:v>1319</c:v>
                </c:pt>
                <c:pt idx="343">
                  <c:v>1203</c:v>
                </c:pt>
                <c:pt idx="344">
                  <c:v>222</c:v>
                </c:pt>
                <c:pt idx="345">
                  <c:v>451</c:v>
                </c:pt>
                <c:pt idx="346">
                  <c:v>1409</c:v>
                </c:pt>
                <c:pt idx="347">
                  <c:v>589</c:v>
                </c:pt>
                <c:pt idx="348">
                  <c:v>400</c:v>
                </c:pt>
                <c:pt idx="349">
                  <c:v>375</c:v>
                </c:pt>
                <c:pt idx="350">
                  <c:v>193</c:v>
                </c:pt>
                <c:pt idx="351">
                  <c:v>533</c:v>
                </c:pt>
                <c:pt idx="352">
                  <c:v>610</c:v>
                </c:pt>
                <c:pt idx="353">
                  <c:v>646</c:v>
                </c:pt>
                <c:pt idx="354">
                  <c:v>1012</c:v>
                </c:pt>
                <c:pt idx="355">
                  <c:v>86</c:v>
                </c:pt>
                <c:pt idx="356">
                  <c:v>428</c:v>
                </c:pt>
                <c:pt idx="357">
                  <c:v>869</c:v>
                </c:pt>
                <c:pt idx="358">
                  <c:v>88</c:v>
                </c:pt>
                <c:pt idx="359">
                  <c:v>161</c:v>
                </c:pt>
                <c:pt idx="360">
                  <c:v>1001</c:v>
                </c:pt>
                <c:pt idx="361">
                  <c:v>1093</c:v>
                </c:pt>
                <c:pt idx="362">
                  <c:v>353</c:v>
                </c:pt>
                <c:pt idx="363">
                  <c:v>139</c:v>
                </c:pt>
                <c:pt idx="364">
                  <c:v>898</c:v>
                </c:pt>
                <c:pt idx="365">
                  <c:v>565</c:v>
                </c:pt>
                <c:pt idx="366">
                  <c:v>97</c:v>
                </c:pt>
                <c:pt idx="367">
                  <c:v>677</c:v>
                </c:pt>
                <c:pt idx="368">
                  <c:v>112</c:v>
                </c:pt>
                <c:pt idx="369">
                  <c:v>406</c:v>
                </c:pt>
                <c:pt idx="370">
                  <c:v>201</c:v>
                </c:pt>
                <c:pt idx="371">
                  <c:v>893</c:v>
                </c:pt>
                <c:pt idx="372">
                  <c:v>411</c:v>
                </c:pt>
                <c:pt idx="373">
                  <c:v>450</c:v>
                </c:pt>
                <c:pt idx="385">
                  <c:v>-58</c:v>
                </c:pt>
                <c:pt idx="386">
                  <c:v>-35</c:v>
                </c:pt>
                <c:pt idx="387">
                  <c:v>-34</c:v>
                </c:pt>
                <c:pt idx="388">
                  <c:v>-29</c:v>
                </c:pt>
                <c:pt idx="389">
                  <c:v>-79</c:v>
                </c:pt>
                <c:pt idx="390">
                  <c:v>-39</c:v>
                </c:pt>
                <c:pt idx="391">
                  <c:v>-46</c:v>
                </c:pt>
                <c:pt idx="417">
                  <c:v>-11</c:v>
                </c:pt>
                <c:pt idx="418">
                  <c:v>-14</c:v>
                </c:pt>
                <c:pt idx="419">
                  <c:v>-17</c:v>
                </c:pt>
                <c:pt idx="420">
                  <c:v>-5</c:v>
                </c:pt>
                <c:pt idx="421">
                  <c:v>-14</c:v>
                </c:pt>
                <c:pt idx="422">
                  <c:v>-8</c:v>
                </c:pt>
                <c:pt idx="423">
                  <c:v>-11</c:v>
                </c:pt>
                <c:pt idx="424">
                  <c:v>-11</c:v>
                </c:pt>
                <c:pt idx="426">
                  <c:v>-51</c:v>
                </c:pt>
                <c:pt idx="427">
                  <c:v>-45</c:v>
                </c:pt>
                <c:pt idx="428">
                  <c:v>-80</c:v>
                </c:pt>
                <c:pt idx="429">
                  <c:v>-69</c:v>
                </c:pt>
                <c:pt idx="430">
                  <c:v>-27</c:v>
                </c:pt>
                <c:pt idx="431">
                  <c:v>-85</c:v>
                </c:pt>
                <c:pt idx="432">
                  <c:v>-111</c:v>
                </c:pt>
                <c:pt idx="434">
                  <c:v>-60</c:v>
                </c:pt>
                <c:pt idx="436">
                  <c:v>-83</c:v>
                </c:pt>
                <c:pt idx="437">
                  <c:v>-98</c:v>
                </c:pt>
                <c:pt idx="439">
                  <c:v>40</c:v>
                </c:pt>
                <c:pt idx="440">
                  <c:v>52</c:v>
                </c:pt>
                <c:pt idx="441">
                  <c:v>49</c:v>
                </c:pt>
                <c:pt idx="442">
                  <c:v>33</c:v>
                </c:pt>
                <c:pt idx="443">
                  <c:v>24</c:v>
                </c:pt>
                <c:pt idx="444">
                  <c:v>30</c:v>
                </c:pt>
                <c:pt idx="445">
                  <c:v>31</c:v>
                </c:pt>
                <c:pt idx="446">
                  <c:v>28</c:v>
                </c:pt>
                <c:pt idx="447">
                  <c:v>31</c:v>
                </c:pt>
                <c:pt idx="448">
                  <c:v>45</c:v>
                </c:pt>
                <c:pt idx="449">
                  <c:v>42</c:v>
                </c:pt>
                <c:pt idx="450">
                  <c:v>50</c:v>
                </c:pt>
                <c:pt idx="451">
                  <c:v>29</c:v>
                </c:pt>
                <c:pt idx="452">
                  <c:v>41</c:v>
                </c:pt>
                <c:pt idx="454">
                  <c:v>54</c:v>
                </c:pt>
                <c:pt idx="455">
                  <c:v>78</c:v>
                </c:pt>
                <c:pt idx="456">
                  <c:v>49</c:v>
                </c:pt>
                <c:pt idx="457">
                  <c:v>46</c:v>
                </c:pt>
                <c:pt idx="458">
                  <c:v>44</c:v>
                </c:pt>
                <c:pt idx="459">
                  <c:v>48</c:v>
                </c:pt>
                <c:pt idx="460">
                  <c:v>40</c:v>
                </c:pt>
                <c:pt idx="461">
                  <c:v>51</c:v>
                </c:pt>
                <c:pt idx="462">
                  <c:v>62</c:v>
                </c:pt>
                <c:pt idx="463">
                  <c:v>62</c:v>
                </c:pt>
                <c:pt idx="464">
                  <c:v>66</c:v>
                </c:pt>
                <c:pt idx="465">
                  <c:v>53</c:v>
                </c:pt>
                <c:pt idx="466">
                  <c:v>62</c:v>
                </c:pt>
                <c:pt idx="468">
                  <c:v>59</c:v>
                </c:pt>
                <c:pt idx="469">
                  <c:v>85</c:v>
                </c:pt>
                <c:pt idx="470">
                  <c:v>49</c:v>
                </c:pt>
                <c:pt idx="471">
                  <c:v>56</c:v>
                </c:pt>
                <c:pt idx="472">
                  <c:v>57</c:v>
                </c:pt>
                <c:pt idx="473">
                  <c:v>56</c:v>
                </c:pt>
                <c:pt idx="474">
                  <c:v>45</c:v>
                </c:pt>
                <c:pt idx="475">
                  <c:v>54</c:v>
                </c:pt>
                <c:pt idx="476">
                  <c:v>70</c:v>
                </c:pt>
                <c:pt idx="477">
                  <c:v>67</c:v>
                </c:pt>
                <c:pt idx="478">
                  <c:v>65</c:v>
                </c:pt>
                <c:pt idx="479">
                  <c:v>60</c:v>
                </c:pt>
                <c:pt idx="480">
                  <c:v>67</c:v>
                </c:pt>
                <c:pt idx="482">
                  <c:v>60</c:v>
                </c:pt>
                <c:pt idx="483">
                  <c:v>72</c:v>
                </c:pt>
                <c:pt idx="484">
                  <c:v>60</c:v>
                </c:pt>
                <c:pt idx="485">
                  <c:v>65</c:v>
                </c:pt>
                <c:pt idx="486">
                  <c:v>77</c:v>
                </c:pt>
                <c:pt idx="487">
                  <c:v>60</c:v>
                </c:pt>
                <c:pt idx="488">
                  <c:v>58</c:v>
                </c:pt>
                <c:pt idx="489">
                  <c:v>62</c:v>
                </c:pt>
                <c:pt idx="490">
                  <c:v>63</c:v>
                </c:pt>
                <c:pt idx="491">
                  <c:v>59</c:v>
                </c:pt>
                <c:pt idx="492">
                  <c:v>57</c:v>
                </c:pt>
                <c:pt idx="493">
                  <c:v>58</c:v>
                </c:pt>
                <c:pt idx="494">
                  <c:v>53</c:v>
                </c:pt>
                <c:pt idx="495">
                  <c:v>51</c:v>
                </c:pt>
                <c:pt idx="497">
                  <c:v>-43</c:v>
                </c:pt>
                <c:pt idx="498">
                  <c:v>-21</c:v>
                </c:pt>
                <c:pt idx="500">
                  <c:v>3</c:v>
                </c:pt>
                <c:pt idx="501">
                  <c:v>-4</c:v>
                </c:pt>
                <c:pt idx="502">
                  <c:v>6</c:v>
                </c:pt>
                <c:pt idx="504">
                  <c:v>6</c:v>
                </c:pt>
                <c:pt idx="505">
                  <c:v>11</c:v>
                </c:pt>
                <c:pt idx="508">
                  <c:v>7</c:v>
                </c:pt>
                <c:pt idx="509">
                  <c:v>-27</c:v>
                </c:pt>
                <c:pt idx="510">
                  <c:v>11</c:v>
                </c:pt>
                <c:pt idx="512">
                  <c:v>13</c:v>
                </c:pt>
                <c:pt idx="513">
                  <c:v>18</c:v>
                </c:pt>
                <c:pt idx="514">
                  <c:v>-9</c:v>
                </c:pt>
                <c:pt idx="515">
                  <c:v>7</c:v>
                </c:pt>
                <c:pt idx="517">
                  <c:v>2</c:v>
                </c:pt>
                <c:pt idx="518">
                  <c:v>-8</c:v>
                </c:pt>
                <c:pt idx="519">
                  <c:v>1</c:v>
                </c:pt>
                <c:pt idx="521">
                  <c:v>-74</c:v>
                </c:pt>
                <c:pt idx="522">
                  <c:v>-52</c:v>
                </c:pt>
                <c:pt idx="523">
                  <c:v>-50</c:v>
                </c:pt>
                <c:pt idx="524">
                  <c:v>-66</c:v>
                </c:pt>
                <c:pt idx="526">
                  <c:v>7665</c:v>
                </c:pt>
                <c:pt idx="527">
                  <c:v>7067</c:v>
                </c:pt>
                <c:pt idx="529">
                  <c:v>-27</c:v>
                </c:pt>
                <c:pt idx="531">
                  <c:v>-84</c:v>
                </c:pt>
                <c:pt idx="532">
                  <c:v>-62</c:v>
                </c:pt>
                <c:pt idx="533">
                  <c:v>-54</c:v>
                </c:pt>
                <c:pt idx="534">
                  <c:v>-57</c:v>
                </c:pt>
                <c:pt idx="535">
                  <c:v>-85</c:v>
                </c:pt>
                <c:pt idx="536">
                  <c:v>-73</c:v>
                </c:pt>
                <c:pt idx="538">
                  <c:v>-142</c:v>
                </c:pt>
                <c:pt idx="540">
                  <c:v>-51</c:v>
                </c:pt>
                <c:pt idx="541">
                  <c:v>-33</c:v>
                </c:pt>
                <c:pt idx="542">
                  <c:v>-42</c:v>
                </c:pt>
              </c:strCache>
            </c:strRef>
          </c:xVal>
          <c:yVal>
            <c:numRef>
              <c:f>'Chemical Data'!$T$8:$T$551</c:f>
              <c:numCache>
                <c:formatCode>0</c:formatCode>
                <c:ptCount val="544"/>
                <c:pt idx="0">
                  <c:v>-39.289767202069626</c:v>
                </c:pt>
                <c:pt idx="1">
                  <c:v>-29.927611876441684</c:v>
                </c:pt>
                <c:pt idx="2" formatCode="0.00">
                  <c:v>-34.608689539255657</c:v>
                </c:pt>
                <c:pt idx="4">
                  <c:v>-23.806790995856254</c:v>
                </c:pt>
                <c:pt idx="5">
                  <c:v>-18.976166582039244</c:v>
                </c:pt>
                <c:pt idx="6" formatCode="0.00">
                  <c:v>-21.391478788947751</c:v>
                </c:pt>
                <c:pt idx="8">
                  <c:v>-34.29773933053832</c:v>
                </c:pt>
                <c:pt idx="9">
                  <c:v>-35.934027885592343</c:v>
                </c:pt>
                <c:pt idx="10" formatCode="0.00">
                  <c:v>-35.115883608065332</c:v>
                </c:pt>
                <c:pt idx="12">
                  <c:v>-39.596227024990689</c:v>
                </c:pt>
                <c:pt idx="13">
                  <c:v>-34.687064559051926</c:v>
                </c:pt>
                <c:pt idx="14" formatCode="0.00">
                  <c:v>-37.141645792021308</c:v>
                </c:pt>
                <c:pt idx="17">
                  <c:v>-19.794366582039245</c:v>
                </c:pt>
                <c:pt idx="18">
                  <c:v>-24.742990808534369</c:v>
                </c:pt>
                <c:pt idx="19" formatCode="0.00">
                  <c:v>-22.268678695286809</c:v>
                </c:pt>
                <c:pt idx="21">
                  <c:v>-59.467144566173616</c:v>
                </c:pt>
                <c:pt idx="22">
                  <c:v>-34.670054802108616</c:v>
                </c:pt>
                <c:pt idx="23" formatCode="0.00">
                  <c:v>-47.06859968414112</c:v>
                </c:pt>
                <c:pt idx="26">
                  <c:v>-45.972412551222533</c:v>
                </c:pt>
                <c:pt idx="27">
                  <c:v>-24.86504592318925</c:v>
                </c:pt>
                <c:pt idx="28" formatCode="0.00">
                  <c:v>-35.418729237205895</c:v>
                </c:pt>
                <c:pt idx="31">
                  <c:v>-47.854225518558707</c:v>
                </c:pt>
                <c:pt idx="32">
                  <c:v>-31.579122800313314</c:v>
                </c:pt>
                <c:pt idx="33" formatCode="0.00">
                  <c:v>-39.71667415943601</c:v>
                </c:pt>
                <c:pt idx="35">
                  <c:v>-63.585484866004052</c:v>
                </c:pt>
                <c:pt idx="36">
                  <c:v>-41.998524395386667</c:v>
                </c:pt>
                <c:pt idx="37">
                  <c:v>-42.662833728496018</c:v>
                </c:pt>
                <c:pt idx="38">
                  <c:v>-37.761672645542156</c:v>
                </c:pt>
                <c:pt idx="39">
                  <c:v>-54.626602885648332</c:v>
                </c:pt>
                <c:pt idx="40">
                  <c:v>-54.520700583540489</c:v>
                </c:pt>
                <c:pt idx="41" formatCode="#,##0">
                  <c:v>-49.192636517436284</c:v>
                </c:pt>
                <c:pt idx="43">
                  <c:v>13.912137930371786</c:v>
                </c:pt>
                <c:pt idx="44">
                  <c:v>11.398617401963454</c:v>
                </c:pt>
                <c:pt idx="45" formatCode="0.00">
                  <c:v>12.65537766616762</c:v>
                </c:pt>
                <c:pt idx="48">
                  <c:v>10.207016625951743</c:v>
                </c:pt>
                <c:pt idx="49">
                  <c:v>10.941351389020562</c:v>
                </c:pt>
                <c:pt idx="50" formatCode="0.00">
                  <c:v>10.574184007486153</c:v>
                </c:pt>
                <c:pt idx="53">
                  <c:v>-1.9620946414723253</c:v>
                </c:pt>
                <c:pt idx="54" formatCode="0.00">
                  <c:v>-1.9620946414723253</c:v>
                </c:pt>
                <c:pt idx="69">
                  <c:v>-66.949708990772848</c:v>
                </c:pt>
                <c:pt idx="70">
                  <c:v>-51.637208861169917</c:v>
                </c:pt>
                <c:pt idx="71">
                  <c:v>-79.848535693080038</c:v>
                </c:pt>
                <c:pt idx="72">
                  <c:v>-38.826300024139798</c:v>
                </c:pt>
                <c:pt idx="73">
                  <c:v>-59.783525077700119</c:v>
                </c:pt>
                <c:pt idx="74">
                  <c:v>-53.77639058354049</c:v>
                </c:pt>
                <c:pt idx="75">
                  <c:v>-58.470278205067196</c:v>
                </c:pt>
                <c:pt idx="78">
                  <c:v>-156.16787411811444</c:v>
                </c:pt>
                <c:pt idx="79">
                  <c:v>-63.439222885648334</c:v>
                </c:pt>
                <c:pt idx="80">
                  <c:v>-34.551352295630714</c:v>
                </c:pt>
                <c:pt idx="81">
                  <c:v>-55.693793731227686</c:v>
                </c:pt>
                <c:pt idx="82">
                  <c:v>-177.68522522956306</c:v>
                </c:pt>
                <c:pt idx="83">
                  <c:v>-111.63826424034738</c:v>
                </c:pt>
                <c:pt idx="84">
                  <c:v>-99.862622083421925</c:v>
                </c:pt>
                <c:pt idx="99">
                  <c:v>-119.15864835350386</c:v>
                </c:pt>
                <c:pt idx="100">
                  <c:v>-61.276144056784247</c:v>
                </c:pt>
                <c:pt idx="101">
                  <c:v>-56.748399053018396</c:v>
                </c:pt>
                <c:pt idx="102">
                  <c:v>-48.787050639430717</c:v>
                </c:pt>
                <c:pt idx="103">
                  <c:v>-129.8094188293374</c:v>
                </c:pt>
                <c:pt idx="104">
                  <c:v>-81.80205437453094</c:v>
                </c:pt>
                <c:pt idx="105">
                  <c:v>-82.930285884434269</c:v>
                </c:pt>
                <c:pt idx="107">
                  <c:v>310.53527058970832</c:v>
                </c:pt>
                <c:pt idx="108">
                  <c:v>329.81565962305569</c:v>
                </c:pt>
                <c:pt idx="109">
                  <c:v>303.16527058970831</c:v>
                </c:pt>
                <c:pt idx="110">
                  <c:v>287.33100000000002</c:v>
                </c:pt>
                <c:pt idx="111">
                  <c:v>299.50200000000001</c:v>
                </c:pt>
                <c:pt idx="112">
                  <c:v>290.15241173621405</c:v>
                </c:pt>
                <c:pt idx="113">
                  <c:v>323.75641173621409</c:v>
                </c:pt>
                <c:pt idx="114">
                  <c:v>357.84927058970834</c:v>
                </c:pt>
                <c:pt idx="115">
                  <c:v>310.91765962305567</c:v>
                </c:pt>
                <c:pt idx="116">
                  <c:v>256.98741173621403</c:v>
                </c:pt>
                <c:pt idx="117">
                  <c:v>297.589</c:v>
                </c:pt>
                <c:pt idx="118">
                  <c:v>427.52393589816234</c:v>
                </c:pt>
                <c:pt idx="119">
                  <c:v>327.10238262308712</c:v>
                </c:pt>
                <c:pt idx="120">
                  <c:v>360.20088262308713</c:v>
                </c:pt>
                <c:pt idx="121">
                  <c:v>344.26614961403766</c:v>
                </c:pt>
                <c:pt idx="122">
                  <c:v>322.1562098071592</c:v>
                </c:pt>
                <c:pt idx="123">
                  <c:v>408.99318107484413</c:v>
                </c:pt>
                <c:pt idx="124">
                  <c:v>415.98061323014423</c:v>
                </c:pt>
                <c:pt idx="125">
                  <c:v>413.11361503984961</c:v>
                </c:pt>
                <c:pt idx="126">
                  <c:v>402.41143692782038</c:v>
                </c:pt>
                <c:pt idx="127">
                  <c:v>353.30103094562401</c:v>
                </c:pt>
                <c:pt idx="128">
                  <c:v>365.72058262308707</c:v>
                </c:pt>
                <c:pt idx="129">
                  <c:v>316.01518853729635</c:v>
                </c:pt>
                <c:pt idx="130">
                  <c:v>358.19002998790222</c:v>
                </c:pt>
                <c:pt idx="131">
                  <c:v>314.16083242181037</c:v>
                </c:pt>
                <c:pt idx="132">
                  <c:v>510.33626769599061</c:v>
                </c:pt>
                <c:pt idx="133">
                  <c:v>221.97246940841035</c:v>
                </c:pt>
                <c:pt idx="134">
                  <c:v>272.7493065427019</c:v>
                </c:pt>
                <c:pt idx="135">
                  <c:v>229.27318980715924</c:v>
                </c:pt>
                <c:pt idx="136">
                  <c:v>317.78034931066242</c:v>
                </c:pt>
                <c:pt idx="151">
                  <c:v>-104.5094501495707</c:v>
                </c:pt>
                <c:pt idx="152">
                  <c:v>-55.657887024990693</c:v>
                </c:pt>
                <c:pt idx="153">
                  <c:v>-52.926842323854515</c:v>
                </c:pt>
                <c:pt idx="154">
                  <c:v>-44.563790639430714</c:v>
                </c:pt>
                <c:pt idx="155">
                  <c:v>-133.92808486561458</c:v>
                </c:pt>
                <c:pt idx="156">
                  <c:v>-70.179754566173628</c:v>
                </c:pt>
                <c:pt idx="157">
                  <c:v>-95.002363728496022</c:v>
                </c:pt>
                <c:pt idx="158">
                  <c:v>-159.74034288564832</c:v>
                </c:pt>
                <c:pt idx="159">
                  <c:v>-89.563564522972399</c:v>
                </c:pt>
                <c:pt idx="161">
                  <c:v>-56.835250567842458</c:v>
                </c:pt>
                <c:pt idx="162">
                  <c:v>-136.79873000000001</c:v>
                </c:pt>
                <c:pt idx="163">
                  <c:v>-110.8205755340377</c:v>
                </c:pt>
                <c:pt idx="164">
                  <c:v>-105.50488368842517</c:v>
                </c:pt>
                <c:pt idx="165">
                  <c:v>-61.138774641472324</c:v>
                </c:pt>
                <c:pt idx="166">
                  <c:v>-74.030233728496</c:v>
                </c:pt>
                <c:pt idx="167">
                  <c:v>-65.816513688425161</c:v>
                </c:pt>
                <c:pt idx="168">
                  <c:v>-117.49799861169915</c:v>
                </c:pt>
                <c:pt idx="169">
                  <c:v>-83.350320777001215</c:v>
                </c:pt>
                <c:pt idx="170">
                  <c:v>-149.98918464147232</c:v>
                </c:pt>
                <c:pt idx="171">
                  <c:v>-121.29394591690544</c:v>
                </c:pt>
                <c:pt idx="172">
                  <c:v>-119.12882860294981</c:v>
                </c:pt>
                <c:pt idx="173">
                  <c:v>-82.450810567842453</c:v>
                </c:pt>
                <c:pt idx="174">
                  <c:v>-75.739550638318633</c:v>
                </c:pt>
                <c:pt idx="175">
                  <c:v>-147.86305551222532</c:v>
                </c:pt>
                <c:pt idx="176">
                  <c:v>-129.16196119188027</c:v>
                </c:pt>
                <c:pt idx="177" formatCode="#,##0">
                  <c:v>-103.12761698151078</c:v>
                </c:pt>
                <c:pt idx="179">
                  <c:v>135.65290960754811</c:v>
                </c:pt>
                <c:pt idx="180">
                  <c:v>283.16600738505053</c:v>
                </c:pt>
                <c:pt idx="181">
                  <c:v>151.74466276777946</c:v>
                </c:pt>
                <c:pt idx="182">
                  <c:v>162.18184930371785</c:v>
                </c:pt>
                <c:pt idx="183">
                  <c:v>196.39436369278206</c:v>
                </c:pt>
                <c:pt idx="184">
                  <c:v>156.00994</c:v>
                </c:pt>
                <c:pt idx="185">
                  <c:v>180.37711780696011</c:v>
                </c:pt>
                <c:pt idx="186">
                  <c:v>303.68189558314344</c:v>
                </c:pt>
                <c:pt idx="188" formatCode="#,##0">
                  <c:v>196.15109326837268</c:v>
                </c:pt>
                <c:pt idx="190">
                  <c:v>233.88344574844388</c:v>
                </c:pt>
                <c:pt idx="191">
                  <c:v>181.48136217308706</c:v>
                </c:pt>
                <c:pt idx="192">
                  <c:v>212.28027293049905</c:v>
                </c:pt>
                <c:pt idx="193" formatCode="#,##0">
                  <c:v>209.21502695067667</c:v>
                </c:pt>
                <c:pt idx="205">
                  <c:v>299.58151447511159</c:v>
                </c:pt>
                <c:pt idx="206">
                  <c:v>473.02945574844392</c:v>
                </c:pt>
                <c:pt idx="207">
                  <c:v>501.71189578425151</c:v>
                </c:pt>
                <c:pt idx="208">
                  <c:v>494.94763574844393</c:v>
                </c:pt>
                <c:pt idx="209">
                  <c:v>719.8095321920689</c:v>
                </c:pt>
                <c:pt idx="210">
                  <c:v>495.428069594769</c:v>
                </c:pt>
                <c:pt idx="211">
                  <c:v>948.6833457484438</c:v>
                </c:pt>
                <c:pt idx="212">
                  <c:v>692.92785940079625</c:v>
                </c:pt>
                <c:pt idx="213">
                  <c:v>565.0603757484439</c:v>
                </c:pt>
                <c:pt idx="214">
                  <c:v>705.1535473850505</c:v>
                </c:pt>
                <c:pt idx="215">
                  <c:v>589.76561263838857</c:v>
                </c:pt>
                <c:pt idx="216">
                  <c:v>615.24052998790228</c:v>
                </c:pt>
                <c:pt idx="217" formatCode="#,##0">
                  <c:v>591.77828120434299</c:v>
                </c:pt>
                <c:pt idx="219">
                  <c:v>0.25338659623055637</c:v>
                </c:pt>
                <c:pt idx="223">
                  <c:v>25.663010980715921</c:v>
                </c:pt>
                <c:pt idx="226">
                  <c:v>27.662944854594681</c:v>
                </c:pt>
                <c:pt idx="227">
                  <c:v>27.910134196779545</c:v>
                </c:pt>
                <c:pt idx="228" formatCode="#,##0">
                  <c:v>27.786539525687111</c:v>
                </c:pt>
                <c:pt idx="230">
                  <c:v>140.83648568331432</c:v>
                </c:pt>
                <c:pt idx="231">
                  <c:v>199.38013722400959</c:v>
                </c:pt>
                <c:pt idx="232">
                  <c:v>110.78480044751113</c:v>
                </c:pt>
                <c:pt idx="236" formatCode="#,##0">
                  <c:v>150.33380778494501</c:v>
                </c:pt>
                <c:pt idx="238">
                  <c:v>192.71089607412952</c:v>
                </c:pt>
                <c:pt idx="239">
                  <c:v>161.56119453718776</c:v>
                </c:pt>
                <c:pt idx="240">
                  <c:v>300.6074440196345</c:v>
                </c:pt>
                <c:pt idx="241">
                  <c:v>214.83743826230867</c:v>
                </c:pt>
                <c:pt idx="243" formatCode="#,##0">
                  <c:v>217.4292432233151</c:v>
                </c:pt>
                <c:pt idx="246">
                  <c:v>-92.304070583540494</c:v>
                </c:pt>
                <c:pt idx="247">
                  <c:v>-48.800642323854511</c:v>
                </c:pt>
                <c:pt idx="248">
                  <c:v>-53.193060000000003</c:v>
                </c:pt>
                <c:pt idx="249">
                  <c:v>-43.541428293374047</c:v>
                </c:pt>
                <c:pt idx="250">
                  <c:v>-98.458613372849598</c:v>
                </c:pt>
                <c:pt idx="251">
                  <c:v>-67.648761099585627</c:v>
                </c:pt>
                <c:pt idx="252">
                  <c:v>-100.87164027107808</c:v>
                </c:pt>
                <c:pt idx="253">
                  <c:v>-126.22076460972615</c:v>
                </c:pt>
                <c:pt idx="254">
                  <c:v>-78.879872569251063</c:v>
                </c:pt>
                <c:pt idx="267">
                  <c:v>-17.459354852283745</c:v>
                </c:pt>
                <c:pt idx="268">
                  <c:v>-29.767765653082648</c:v>
                </c:pt>
                <c:pt idx="269">
                  <c:v>-13.248354852283743</c:v>
                </c:pt>
                <c:pt idx="270">
                  <c:v>-16.28908829337405</c:v>
                </c:pt>
                <c:pt idx="271">
                  <c:v>-12.318690808534368</c:v>
                </c:pt>
                <c:pt idx="272">
                  <c:v>-35.339709464147234</c:v>
                </c:pt>
                <c:pt idx="273">
                  <c:v>-17.816650891911713</c:v>
                </c:pt>
                <c:pt idx="275">
                  <c:v>-97.397521099585632</c:v>
                </c:pt>
                <c:pt idx="276">
                  <c:v>-47.978180808534368</c:v>
                </c:pt>
                <c:pt idx="277">
                  <c:v>-45.380980808534368</c:v>
                </c:pt>
                <c:pt idx="278">
                  <c:v>-45.233840808534367</c:v>
                </c:pt>
                <c:pt idx="279">
                  <c:v>-97.595102835882642</c:v>
                </c:pt>
                <c:pt idx="280">
                  <c:v>-69.694054374530936</c:v>
                </c:pt>
                <c:pt idx="281">
                  <c:v>-66.717125272214275</c:v>
                </c:pt>
                <c:pt idx="300">
                  <c:v>-22.328906455421574</c:v>
                </c:pt>
                <c:pt idx="301">
                  <c:v>-45.367057024990693</c:v>
                </c:pt>
                <c:pt idx="302">
                  <c:v>-34.490553098089883</c:v>
                </c:pt>
                <c:pt idx="303">
                  <c:v>-38.571547312276884</c:v>
                </c:pt>
                <c:pt idx="304">
                  <c:v>-28.247152295630713</c:v>
                </c:pt>
                <c:pt idx="305">
                  <c:v>-32.913438781737689</c:v>
                </c:pt>
                <c:pt idx="306">
                  <c:v>-46.518338611699157</c:v>
                </c:pt>
                <c:pt idx="307">
                  <c:v>-40.232204641472329</c:v>
                </c:pt>
                <c:pt idx="308" formatCode="#,##0">
                  <c:v>-36.083649777664867</c:v>
                </c:pt>
                <c:pt idx="322">
                  <c:v>-71.972690808534367</c:v>
                </c:pt>
                <c:pt idx="323">
                  <c:v>-45.064440189552492</c:v>
                </c:pt>
                <c:pt idx="324">
                  <c:v>-47.168463448793496</c:v>
                </c:pt>
                <c:pt idx="325">
                  <c:v>-40.391462031715349</c:v>
                </c:pt>
                <c:pt idx="326">
                  <c:v>-110.49793934487936</c:v>
                </c:pt>
                <c:pt idx="327">
                  <c:v>-63</c:v>
                </c:pt>
                <c:pt idx="328">
                  <c:v>-63.018999164695018</c:v>
                </c:pt>
                <c:pt idx="336">
                  <c:v>1844.9419885372963</c:v>
                </c:pt>
                <c:pt idx="337">
                  <c:v>924.62343854061896</c:v>
                </c:pt>
                <c:pt idx="338">
                  <c:v>312.6646724003798</c:v>
                </c:pt>
                <c:pt idx="340">
                  <c:v>346.43254690668726</c:v>
                </c:pt>
                <c:pt idx="341">
                  <c:v>100.76279793037179</c:v>
                </c:pt>
                <c:pt idx="343">
                  <c:v>885.08934537187804</c:v>
                </c:pt>
                <c:pt idx="344">
                  <c:v>182.44138830084188</c:v>
                </c:pt>
                <c:pt idx="345">
                  <c:v>390.54218262308706</c:v>
                </c:pt>
                <c:pt idx="346">
                  <c:v>1065.8697891384431</c:v>
                </c:pt>
                <c:pt idx="367">
                  <c:v>710.51947173087058</c:v>
                </c:pt>
                <c:pt idx="368">
                  <c:v>129.82781094807436</c:v>
                </c:pt>
                <c:pt idx="369">
                  <c:v>433.19761369288125</c:v>
                </c:pt>
                <c:pt idx="370">
                  <c:v>213.32252351669081</c:v>
                </c:pt>
                <c:pt idx="371">
                  <c:v>337.96223486794639</c:v>
                </c:pt>
                <c:pt idx="372">
                  <c:v>519.77337263838854</c:v>
                </c:pt>
                <c:pt idx="373">
                  <c:v>364.96593095129265</c:v>
                </c:pt>
                <c:pt idx="385">
                  <c:v>-75.57540559169054</c:v>
                </c:pt>
                <c:pt idx="386">
                  <c:v>-43.63246958512304</c:v>
                </c:pt>
                <c:pt idx="387">
                  <c:v>-45.612846315747738</c:v>
                </c:pt>
                <c:pt idx="388">
                  <c:v>-38.377715693080042</c:v>
                </c:pt>
                <c:pt idx="389">
                  <c:v>-87.892031099585637</c:v>
                </c:pt>
                <c:pt idx="390">
                  <c:v>-55.527564232598039</c:v>
                </c:pt>
                <c:pt idx="391">
                  <c:v>-58.218093657045394</c:v>
                </c:pt>
                <c:pt idx="417">
                  <c:v>-20.711073745309331</c:v>
                </c:pt>
                <c:pt idx="418">
                  <c:v>-23.30999865614594</c:v>
                </c:pt>
                <c:pt idx="419">
                  <c:v>-17.606176315747739</c:v>
                </c:pt>
                <c:pt idx="420">
                  <c:v>-19.485205037069893</c:v>
                </c:pt>
                <c:pt idx="421">
                  <c:v>-20.568527885592339</c:v>
                </c:pt>
                <c:pt idx="422">
                  <c:v>-27.589822800313314</c:v>
                </c:pt>
                <c:pt idx="423">
                  <c:v>-22.699928078676987</c:v>
                </c:pt>
                <c:pt idx="424" formatCode="#,##0">
                  <c:v>-21.710104645550789</c:v>
                </c:pt>
                <c:pt idx="426">
                  <c:v>-57.648507553403768</c:v>
                </c:pt>
                <c:pt idx="427">
                  <c:v>-49.41555203171535</c:v>
                </c:pt>
                <c:pt idx="428">
                  <c:v>-84.058980639430715</c:v>
                </c:pt>
                <c:pt idx="429">
                  <c:v>-81.468440871630719</c:v>
                </c:pt>
                <c:pt idx="430">
                  <c:v>-39.817935693080045</c:v>
                </c:pt>
                <c:pt idx="431">
                  <c:v>-102.8198848656146</c:v>
                </c:pt>
                <c:pt idx="432">
                  <c:v>-115.81787596269875</c:v>
                </c:pt>
                <c:pt idx="434">
                  <c:v>-77.003624063831865</c:v>
                </c:pt>
                <c:pt idx="436">
                  <c:v>-101.04438905301841</c:v>
                </c:pt>
                <c:pt idx="437">
                  <c:v>-113.42002435725975</c:v>
                </c:pt>
                <c:pt idx="439">
                  <c:v>53.43397346917353</c:v>
                </c:pt>
                <c:pt idx="440">
                  <c:v>49.17394179800376</c:v>
                </c:pt>
                <c:pt idx="441" formatCode="#,##0">
                  <c:v>39.013341548545952</c:v>
                </c:pt>
                <c:pt idx="442">
                  <c:v>35.399471548545947</c:v>
                </c:pt>
                <c:pt idx="443">
                  <c:v>14.735296901910118</c:v>
                </c:pt>
                <c:pt idx="444">
                  <c:v>14.66847179800375</c:v>
                </c:pt>
                <c:pt idx="445">
                  <c:v>39.809515469066866</c:v>
                </c:pt>
                <c:pt idx="446">
                  <c:v>35.208880541967794</c:v>
                </c:pt>
                <c:pt idx="447">
                  <c:v>49.571761798003749</c:v>
                </c:pt>
                <c:pt idx="448">
                  <c:v>22.810010541967799</c:v>
                </c:pt>
                <c:pt idx="449">
                  <c:v>39.08743388300843</c:v>
                </c:pt>
                <c:pt idx="450">
                  <c:v>33.492596270589701</c:v>
                </c:pt>
                <c:pt idx="451">
                  <c:v>43.169082711451736</c:v>
                </c:pt>
                <c:pt idx="452">
                  <c:v>55.306726427402538</c:v>
                </c:pt>
                <c:pt idx="454">
                  <c:v>32.182281861047798</c:v>
                </c:pt>
                <c:pt idx="455">
                  <c:v>52.905912477584664</c:v>
                </c:pt>
                <c:pt idx="456" formatCode="#,##0">
                  <c:v>39.013341548545952</c:v>
                </c:pt>
                <c:pt idx="457">
                  <c:v>30.76411596526188</c:v>
                </c:pt>
                <c:pt idx="458">
                  <c:v>20.079008062421828</c:v>
                </c:pt>
                <c:pt idx="459">
                  <c:v>43.253580041437473</c:v>
                </c:pt>
                <c:pt idx="460">
                  <c:v>55.156903438540617</c:v>
                </c:pt>
                <c:pt idx="461">
                  <c:v>59.567136270589685</c:v>
                </c:pt>
                <c:pt idx="462">
                  <c:v>36.891221798003755</c:v>
                </c:pt>
                <c:pt idx="463">
                  <c:v>45.856533035898153</c:v>
                </c:pt>
                <c:pt idx="464">
                  <c:v>43.912152711451732</c:v>
                </c:pt>
                <c:pt idx="465">
                  <c:v>53.636416270589699</c:v>
                </c:pt>
                <c:pt idx="466">
                  <c:v>69.900793883008433</c:v>
                </c:pt>
                <c:pt idx="468">
                  <c:v>38.053147681074847</c:v>
                </c:pt>
                <c:pt idx="469">
                  <c:v>56.163443970501959</c:v>
                </c:pt>
                <c:pt idx="470" formatCode="#,##0">
                  <c:v>39.013341548545952</c:v>
                </c:pt>
                <c:pt idx="471">
                  <c:v>36.967206877231149</c:v>
                </c:pt>
                <c:pt idx="472">
                  <c:v>35.372972229987916</c:v>
                </c:pt>
                <c:pt idx="473">
                  <c:v>43.871913115748441</c:v>
                </c:pt>
                <c:pt idx="474">
                  <c:v>49.317135419408416</c:v>
                </c:pt>
                <c:pt idx="475">
                  <c:v>42.62876339959476</c:v>
                </c:pt>
                <c:pt idx="476">
                  <c:v>42.215334356833154</c:v>
                </c:pt>
                <c:pt idx="477">
                  <c:v>47.330353382638393</c:v>
                </c:pt>
                <c:pt idx="478">
                  <c:v>50.302196411736212</c:v>
                </c:pt>
                <c:pt idx="479">
                  <c:v>64.81910432157548</c:v>
                </c:pt>
                <c:pt idx="480">
                  <c:v>68.377404321575483</c:v>
                </c:pt>
                <c:pt idx="482">
                  <c:v>50.520618300841889</c:v>
                </c:pt>
                <c:pt idx="483">
                  <c:v>56.423371681363605</c:v>
                </c:pt>
                <c:pt idx="484">
                  <c:v>57.910947249714013</c:v>
                </c:pt>
                <c:pt idx="485">
                  <c:v>63.389279173516755</c:v>
                </c:pt>
                <c:pt idx="486">
                  <c:v>70.291362738505043</c:v>
                </c:pt>
                <c:pt idx="487">
                  <c:v>52.821229461678755</c:v>
                </c:pt>
                <c:pt idx="488">
                  <c:v>63.601360093074092</c:v>
                </c:pt>
                <c:pt idx="489">
                  <c:v>53.260043890205608</c:v>
                </c:pt>
                <c:pt idx="490">
                  <c:v>48.063812157547886</c:v>
                </c:pt>
                <c:pt idx="491">
                  <c:v>54.316099480743745</c:v>
                </c:pt>
                <c:pt idx="492">
                  <c:v>49.197352738505046</c:v>
                </c:pt>
                <c:pt idx="493">
                  <c:v>38.35619469066873</c:v>
                </c:pt>
                <c:pt idx="494">
                  <c:v>41.235422157547887</c:v>
                </c:pt>
                <c:pt idx="495">
                  <c:v>37.812292157547887</c:v>
                </c:pt>
                <c:pt idx="497">
                  <c:v>-52.90704018955249</c:v>
                </c:pt>
                <c:pt idx="498">
                  <c:v>-34.375887312276888</c:v>
                </c:pt>
                <c:pt idx="500">
                  <c:v>-4.6288853275996207</c:v>
                </c:pt>
                <c:pt idx="501">
                  <c:v>-5.2791453503859618</c:v>
                </c:pt>
                <c:pt idx="502">
                  <c:v>-12.032650567842452</c:v>
                </c:pt>
                <c:pt idx="503">
                  <c:v>0</c:v>
                </c:pt>
                <c:pt idx="504">
                  <c:v>-18.935093729410291</c:v>
                </c:pt>
                <c:pt idx="505">
                  <c:v>-3.6068545542157473</c:v>
                </c:pt>
                <c:pt idx="508">
                  <c:v>-5.0651666173616112</c:v>
                </c:pt>
                <c:pt idx="509">
                  <c:v>-34.696126532759962</c:v>
                </c:pt>
                <c:pt idx="510">
                  <c:v>-5.7885608534367776</c:v>
                </c:pt>
                <c:pt idx="512">
                  <c:v>16.778135683314339</c:v>
                </c:pt>
                <c:pt idx="513">
                  <c:v>18.344267723113767</c:v>
                </c:pt>
                <c:pt idx="514">
                  <c:v>-30.813489907728489</c:v>
                </c:pt>
                <c:pt idx="515">
                  <c:v>1.1749782846481391</c:v>
                </c:pt>
                <c:pt idx="517">
                  <c:v>-19.817183535038595</c:v>
                </c:pt>
                <c:pt idx="518">
                  <c:v>-11.247525933053833</c:v>
                </c:pt>
                <c:pt idx="519">
                  <c:v>-15.449440845145405</c:v>
                </c:pt>
                <c:pt idx="521">
                  <c:v>-84.98416876441685</c:v>
                </c:pt>
                <c:pt idx="522">
                  <c:v>-56.29479596269875</c:v>
                </c:pt>
                <c:pt idx="523">
                  <c:v>-57.766469907728492</c:v>
                </c:pt>
                <c:pt idx="524">
                  <c:v>-74.744584063831866</c:v>
                </c:pt>
                <c:pt idx="527">
                  <c:v>7607.1568445485855</c:v>
                </c:pt>
                <c:pt idx="529">
                  <c:v>-39.645404147232519</c:v>
                </c:pt>
                <c:pt idx="531">
                  <c:v>-93.956060445805917</c:v>
                </c:pt>
                <c:pt idx="532">
                  <c:v>-67.416493731227689</c:v>
                </c:pt>
                <c:pt idx="533">
                  <c:v>-71.833318861169914</c:v>
                </c:pt>
                <c:pt idx="534">
                  <c:v>-65.035907553403774</c:v>
                </c:pt>
                <c:pt idx="535">
                  <c:v>-91.643376435725969</c:v>
                </c:pt>
                <c:pt idx="536">
                  <c:v>-78.890630149570697</c:v>
                </c:pt>
                <c:pt idx="538">
                  <c:v>-144.38303185587043</c:v>
                </c:pt>
                <c:pt idx="540">
                  <c:v>-65.909261451731368</c:v>
                </c:pt>
                <c:pt idx="541">
                  <c:v>-39.940067410766147</c:v>
                </c:pt>
                <c:pt idx="542" formatCode="#,##0">
                  <c:v>-52.924664431248758</c:v>
                </c:pt>
              </c:numCache>
            </c:numRef>
          </c:yVal>
          <c:smooth val="0"/>
          <c:extLst>
            <c:ext xmlns:c16="http://schemas.microsoft.com/office/drawing/2014/chart" uri="{C3380CC4-5D6E-409C-BE32-E72D297353CC}">
              <c16:uniqueId val="{00000000-96CD-4182-8E00-216067FBF27F}"/>
            </c:ext>
          </c:extLst>
        </c:ser>
        <c:dLbls>
          <c:showLegendKey val="0"/>
          <c:showVal val="0"/>
          <c:showCatName val="0"/>
          <c:showSerName val="0"/>
          <c:showPercent val="0"/>
          <c:showBubbleSize val="0"/>
        </c:dLbls>
        <c:axId val="148053296"/>
        <c:axId val="148056208"/>
      </c:scatterChart>
      <c:valAx>
        <c:axId val="148053296"/>
        <c:scaling>
          <c:orientation val="minMax"/>
          <c:max val="800"/>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Measured acidity</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8056208"/>
        <c:crosses val="autoZero"/>
        <c:crossBetween val="midCat"/>
      </c:valAx>
      <c:valAx>
        <c:axId val="148056208"/>
        <c:scaling>
          <c:orientation val="minMax"/>
          <c:max val="8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Calculated</a:t>
                </a:r>
                <a:r>
                  <a:rPr lang="en-US" baseline="0"/>
                  <a:t> acidity</a:t>
                </a: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8053296"/>
        <c:crosses val="autoZero"/>
        <c:crossBetween val="midCat"/>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Field vs lab pH</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xVal>
            <c:strRef>
              <c:f>'Chemical Data'!$L$8:$L$551</c:f>
              <c:strCache>
                <c:ptCount val="543"/>
                <c:pt idx="0">
                  <c:v>7.22</c:v>
                </c:pt>
                <c:pt idx="1">
                  <c:v>8.11</c:v>
                </c:pt>
                <c:pt idx="2">
                  <c:v>7.67</c:v>
                </c:pt>
                <c:pt idx="4">
                  <c:v>6.76</c:v>
                </c:pt>
                <c:pt idx="5">
                  <c:v>7.35</c:v>
                </c:pt>
                <c:pt idx="6">
                  <c:v>7.06</c:v>
                </c:pt>
                <c:pt idx="8">
                  <c:v>6.45</c:v>
                </c:pt>
                <c:pt idx="9">
                  <c:v>7.63</c:v>
                </c:pt>
                <c:pt idx="10">
                  <c:v>7.04</c:v>
                </c:pt>
                <c:pt idx="12">
                  <c:v>7.21</c:v>
                </c:pt>
                <c:pt idx="13">
                  <c:v>7.34</c:v>
                </c:pt>
                <c:pt idx="14">
                  <c:v>7.28</c:v>
                </c:pt>
                <c:pt idx="17">
                  <c:v>7.35</c:v>
                </c:pt>
                <c:pt idx="18">
                  <c:v>7.55</c:v>
                </c:pt>
                <c:pt idx="19">
                  <c:v>7.45</c:v>
                </c:pt>
                <c:pt idx="21">
                  <c:v>7.64</c:v>
                </c:pt>
                <c:pt idx="22">
                  <c:v>7.59</c:v>
                </c:pt>
                <c:pt idx="23">
                  <c:v>7.62</c:v>
                </c:pt>
                <c:pt idx="26">
                  <c:v>7.93</c:v>
                </c:pt>
                <c:pt idx="27">
                  <c:v>7.94</c:v>
                </c:pt>
                <c:pt idx="28">
                  <c:v>7.94</c:v>
                </c:pt>
                <c:pt idx="31">
                  <c:v>7.87</c:v>
                </c:pt>
                <c:pt idx="32">
                  <c:v>7.24</c:v>
                </c:pt>
                <c:pt idx="33">
                  <c:v>7.56</c:v>
                </c:pt>
                <c:pt idx="35">
                  <c:v>7.58</c:v>
                </c:pt>
                <c:pt idx="36">
                  <c:v>7.53</c:v>
                </c:pt>
                <c:pt idx="37">
                  <c:v>7.03</c:v>
                </c:pt>
                <c:pt idx="38">
                  <c:v>7.61</c:v>
                </c:pt>
                <c:pt idx="39">
                  <c:v>7.56</c:v>
                </c:pt>
                <c:pt idx="40">
                  <c:v>7.62</c:v>
                </c:pt>
                <c:pt idx="41">
                  <c:v>7.49</c:v>
                </c:pt>
                <c:pt idx="43">
                  <c:v>4.22</c:v>
                </c:pt>
                <c:pt idx="44">
                  <c:v>4.57</c:v>
                </c:pt>
                <c:pt idx="45">
                  <c:v>4.40</c:v>
                </c:pt>
                <c:pt idx="48">
                  <c:v>4.25</c:v>
                </c:pt>
                <c:pt idx="49">
                  <c:v>4.39</c:v>
                </c:pt>
                <c:pt idx="50">
                  <c:v>4.32</c:v>
                </c:pt>
                <c:pt idx="53">
                  <c:v>5.56</c:v>
                </c:pt>
                <c:pt idx="54">
                  <c:v>5.56</c:v>
                </c:pt>
                <c:pt idx="69">
                  <c:v>7.95</c:v>
                </c:pt>
                <c:pt idx="70">
                  <c:v>7.50</c:v>
                </c:pt>
                <c:pt idx="71">
                  <c:v>7.29</c:v>
                </c:pt>
                <c:pt idx="72">
                  <c:v>7.52</c:v>
                </c:pt>
                <c:pt idx="73">
                  <c:v>7.71</c:v>
                </c:pt>
                <c:pt idx="74">
                  <c:v>7.62</c:v>
                </c:pt>
                <c:pt idx="75">
                  <c:v>7.60</c:v>
                </c:pt>
                <c:pt idx="78">
                  <c:v>8.08</c:v>
                </c:pt>
                <c:pt idx="79">
                  <c:v>7.56</c:v>
                </c:pt>
                <c:pt idx="80">
                  <c:v>7.26</c:v>
                </c:pt>
                <c:pt idx="81">
                  <c:v>7.85</c:v>
                </c:pt>
                <c:pt idx="82">
                  <c:v>8.26</c:v>
                </c:pt>
                <c:pt idx="83">
                  <c:v>7.97</c:v>
                </c:pt>
                <c:pt idx="84">
                  <c:v>7.83</c:v>
                </c:pt>
                <c:pt idx="99">
                  <c:v>7.99</c:v>
                </c:pt>
                <c:pt idx="100">
                  <c:v>7.60</c:v>
                </c:pt>
                <c:pt idx="101">
                  <c:v>7.42</c:v>
                </c:pt>
                <c:pt idx="102">
                  <c:v>7.65</c:v>
                </c:pt>
                <c:pt idx="103">
                  <c:v>8.25</c:v>
                </c:pt>
                <c:pt idx="104">
                  <c:v>8.05</c:v>
                </c:pt>
                <c:pt idx="105">
                  <c:v>7.83</c:v>
                </c:pt>
                <c:pt idx="130">
                  <c:v>2.71</c:v>
                </c:pt>
                <c:pt idx="131">
                  <c:v>2.82</c:v>
                </c:pt>
                <c:pt idx="132">
                  <c:v>2.17</c:v>
                </c:pt>
                <c:pt idx="133">
                  <c:v>2.83</c:v>
                </c:pt>
                <c:pt idx="134">
                  <c:v>2.68</c:v>
                </c:pt>
                <c:pt idx="135">
                  <c:v>2.96</c:v>
                </c:pt>
                <c:pt idx="136">
                  <c:v>2.70</c:v>
                </c:pt>
                <c:pt idx="151">
                  <c:v>7.74</c:v>
                </c:pt>
                <c:pt idx="152">
                  <c:v>7.21</c:v>
                </c:pt>
                <c:pt idx="153">
                  <c:v>7.43</c:v>
                </c:pt>
                <c:pt idx="154">
                  <c:v>7.65</c:v>
                </c:pt>
                <c:pt idx="155">
                  <c:v>7.91</c:v>
                </c:pt>
                <c:pt idx="156">
                  <c:v>7.64</c:v>
                </c:pt>
                <c:pt idx="157">
                  <c:v>7.03</c:v>
                </c:pt>
                <c:pt idx="158">
                  <c:v>7.56</c:v>
                </c:pt>
                <c:pt idx="159">
                  <c:v>8</c:v>
                </c:pt>
                <c:pt idx="161">
                  <c:v>7.31</c:v>
                </c:pt>
                <c:pt idx="162">
                  <c:v>7.14</c:v>
                </c:pt>
                <c:pt idx="164">
                  <c:v>6.91</c:v>
                </c:pt>
                <c:pt idx="165">
                  <c:v>6.40</c:v>
                </c:pt>
                <c:pt idx="166">
                  <c:v>7.03</c:v>
                </c:pt>
                <c:pt idx="167">
                  <c:v>6.70</c:v>
                </c:pt>
                <c:pt idx="168">
                  <c:v>6.88</c:v>
                </c:pt>
                <c:pt idx="169">
                  <c:v>6.71</c:v>
                </c:pt>
                <c:pt idx="170">
                  <c:v>6.64</c:v>
                </c:pt>
                <c:pt idx="171">
                  <c:v>6.81</c:v>
                </c:pt>
                <c:pt idx="172">
                  <c:v>6.75</c:v>
                </c:pt>
                <c:pt idx="173">
                  <c:v>6.37</c:v>
                </c:pt>
                <c:pt idx="174">
                  <c:v>6.24</c:v>
                </c:pt>
                <c:pt idx="175">
                  <c:v>6.93</c:v>
                </c:pt>
                <c:pt idx="176">
                  <c:v>6.66</c:v>
                </c:pt>
                <c:pt idx="177">
                  <c:v>7</c:v>
                </c:pt>
                <c:pt idx="179">
                  <c:v>3.35</c:v>
                </c:pt>
                <c:pt idx="180">
                  <c:v>2.44</c:v>
                </c:pt>
                <c:pt idx="181">
                  <c:v>3.23</c:v>
                </c:pt>
                <c:pt idx="182">
                  <c:v>3.22</c:v>
                </c:pt>
                <c:pt idx="183">
                  <c:v>3.88</c:v>
                </c:pt>
                <c:pt idx="184">
                  <c:v>4.00</c:v>
                </c:pt>
                <c:pt idx="185">
                  <c:v>3.47</c:v>
                </c:pt>
                <c:pt idx="186">
                  <c:v>4.11</c:v>
                </c:pt>
                <c:pt idx="188">
                  <c:v>3</c:v>
                </c:pt>
                <c:pt idx="190">
                  <c:v>2.70</c:v>
                </c:pt>
                <c:pt idx="191">
                  <c:v>3.92</c:v>
                </c:pt>
                <c:pt idx="192">
                  <c:v>2.74</c:v>
                </c:pt>
                <c:pt idx="193">
                  <c:v>3</c:v>
                </c:pt>
                <c:pt idx="195">
                  <c:v>5.99</c:v>
                </c:pt>
                <c:pt idx="197">
                  <c:v>6.06</c:v>
                </c:pt>
                <c:pt idx="199">
                  <c:v>5.93</c:v>
                </c:pt>
                <c:pt idx="201">
                  <c:v>5.74</c:v>
                </c:pt>
                <c:pt idx="203">
                  <c:v>4.99</c:v>
                </c:pt>
                <c:pt idx="205">
                  <c:v>2.67</c:v>
                </c:pt>
                <c:pt idx="207">
                  <c:v>2.61</c:v>
                </c:pt>
                <c:pt idx="208">
                  <c:v>2.70</c:v>
                </c:pt>
                <c:pt idx="209">
                  <c:v>2.15</c:v>
                </c:pt>
                <c:pt idx="210">
                  <c:v>2.58</c:v>
                </c:pt>
                <c:pt idx="211">
                  <c:v>5.18</c:v>
                </c:pt>
                <c:pt idx="212">
                  <c:v>2.37</c:v>
                </c:pt>
                <c:pt idx="213">
                  <c:v>4.50</c:v>
                </c:pt>
                <c:pt idx="214">
                  <c:v>2.44</c:v>
                </c:pt>
                <c:pt idx="215">
                  <c:v>2.64</c:v>
                </c:pt>
                <c:pt idx="216">
                  <c:v>2.71</c:v>
                </c:pt>
                <c:pt idx="217">
                  <c:v>2.96</c:v>
                </c:pt>
                <c:pt idx="219">
                  <c:v>2.61</c:v>
                </c:pt>
                <c:pt idx="221">
                  <c:v>6.72</c:v>
                </c:pt>
                <c:pt idx="223">
                  <c:v>3.96</c:v>
                </c:pt>
                <c:pt idx="226">
                  <c:v>4.16</c:v>
                </c:pt>
                <c:pt idx="227">
                  <c:v>4.04</c:v>
                </c:pt>
                <c:pt idx="228">
                  <c:v>4</c:v>
                </c:pt>
                <c:pt idx="230">
                  <c:v>3.73</c:v>
                </c:pt>
                <c:pt idx="231">
                  <c:v>2.55</c:v>
                </c:pt>
                <c:pt idx="232">
                  <c:v>3.67</c:v>
                </c:pt>
                <c:pt idx="236">
                  <c:v>3</c:v>
                </c:pt>
                <c:pt idx="238">
                  <c:v>3.48</c:v>
                </c:pt>
                <c:pt idx="239">
                  <c:v>3.78</c:v>
                </c:pt>
                <c:pt idx="240">
                  <c:v>3.57</c:v>
                </c:pt>
                <c:pt idx="241">
                  <c:v>3.77</c:v>
                </c:pt>
                <c:pt idx="243">
                  <c:v>4</c:v>
                </c:pt>
                <c:pt idx="246">
                  <c:v>7.62</c:v>
                </c:pt>
                <c:pt idx="247">
                  <c:v>7.43</c:v>
                </c:pt>
                <c:pt idx="248">
                  <c:v>7.00</c:v>
                </c:pt>
                <c:pt idx="249">
                  <c:v>7.25</c:v>
                </c:pt>
                <c:pt idx="250">
                  <c:v>8.03</c:v>
                </c:pt>
                <c:pt idx="251">
                  <c:v>7.76</c:v>
                </c:pt>
                <c:pt idx="252">
                  <c:v>7.15</c:v>
                </c:pt>
                <c:pt idx="253">
                  <c:v>7.44</c:v>
                </c:pt>
                <c:pt idx="254">
                  <c:v>7.46</c:v>
                </c:pt>
                <c:pt idx="267">
                  <c:v>7.51</c:v>
                </c:pt>
                <c:pt idx="268">
                  <c:v>7.38</c:v>
                </c:pt>
                <c:pt idx="269">
                  <c:v>7.51</c:v>
                </c:pt>
                <c:pt idx="270">
                  <c:v>7.25</c:v>
                </c:pt>
                <c:pt idx="271">
                  <c:v>7.55</c:v>
                </c:pt>
                <c:pt idx="272">
                  <c:v>7.40</c:v>
                </c:pt>
                <c:pt idx="273">
                  <c:v>7.43</c:v>
                </c:pt>
                <c:pt idx="275">
                  <c:v>7.76</c:v>
                </c:pt>
                <c:pt idx="276">
                  <c:v>7.55</c:v>
                </c:pt>
                <c:pt idx="277">
                  <c:v>7.55</c:v>
                </c:pt>
                <c:pt idx="278">
                  <c:v>7.55</c:v>
                </c:pt>
                <c:pt idx="279">
                  <c:v>8.10</c:v>
                </c:pt>
                <c:pt idx="280">
                  <c:v>8.05</c:v>
                </c:pt>
                <c:pt idx="281">
                  <c:v>7.76</c:v>
                </c:pt>
                <c:pt idx="300">
                  <c:v>6.61</c:v>
                </c:pt>
                <c:pt idx="301">
                  <c:v>7.21</c:v>
                </c:pt>
                <c:pt idx="302">
                  <c:v>6.07</c:v>
                </c:pt>
                <c:pt idx="303">
                  <c:v>6.85</c:v>
                </c:pt>
                <c:pt idx="304">
                  <c:v>7.26</c:v>
                </c:pt>
                <c:pt idx="305">
                  <c:v>6.77</c:v>
                </c:pt>
                <c:pt idx="307">
                  <c:v>7.16</c:v>
                </c:pt>
                <c:pt idx="308">
                  <c:v>7</c:v>
                </c:pt>
                <c:pt idx="322">
                  <c:v>7.55</c:v>
                </c:pt>
                <c:pt idx="323">
                  <c:v>6.67</c:v>
                </c:pt>
                <c:pt idx="324">
                  <c:v>7.13</c:v>
                </c:pt>
                <c:pt idx="325">
                  <c:v>7.49</c:v>
                </c:pt>
                <c:pt idx="326">
                  <c:v>8.13</c:v>
                </c:pt>
                <c:pt idx="327">
                  <c:v>7.80</c:v>
                </c:pt>
                <c:pt idx="328">
                  <c:v>7.46</c:v>
                </c:pt>
                <c:pt idx="367">
                  <c:v>2.92</c:v>
                </c:pt>
                <c:pt idx="368">
                  <c:v>4.34</c:v>
                </c:pt>
                <c:pt idx="369">
                  <c:v>3.26</c:v>
                </c:pt>
                <c:pt idx="370">
                  <c:v>3.56</c:v>
                </c:pt>
                <c:pt idx="371">
                  <c:v>2.79</c:v>
                </c:pt>
                <c:pt idx="372">
                  <c:v>2.64</c:v>
                </c:pt>
                <c:pt idx="373">
                  <c:v>3.25</c:v>
                </c:pt>
                <c:pt idx="385">
                  <c:v>7.81</c:v>
                </c:pt>
                <c:pt idx="386">
                  <c:v>7.17</c:v>
                </c:pt>
                <c:pt idx="387">
                  <c:v>7.46</c:v>
                </c:pt>
                <c:pt idx="388">
                  <c:v>7.29</c:v>
                </c:pt>
                <c:pt idx="389">
                  <c:v>7.76</c:v>
                </c:pt>
                <c:pt idx="390">
                  <c:v>7.57</c:v>
                </c:pt>
                <c:pt idx="391">
                  <c:v>7.51</c:v>
                </c:pt>
                <c:pt idx="417">
                  <c:v>7.05</c:v>
                </c:pt>
                <c:pt idx="418">
                  <c:v>6.91</c:v>
                </c:pt>
                <c:pt idx="419">
                  <c:v>7.46</c:v>
                </c:pt>
                <c:pt idx="420">
                  <c:v>7.02</c:v>
                </c:pt>
                <c:pt idx="421">
                  <c:v>7.63</c:v>
                </c:pt>
                <c:pt idx="422">
                  <c:v>7.24</c:v>
                </c:pt>
                <c:pt idx="423">
                  <c:v>6.86</c:v>
                </c:pt>
                <c:pt idx="424">
                  <c:v>7.17</c:v>
                </c:pt>
                <c:pt idx="426">
                  <c:v>7.80</c:v>
                </c:pt>
                <c:pt idx="427">
                  <c:v>7.49</c:v>
                </c:pt>
                <c:pt idx="428">
                  <c:v>7.65</c:v>
                </c:pt>
                <c:pt idx="429">
                  <c:v>7.88</c:v>
                </c:pt>
                <c:pt idx="430">
                  <c:v>7.29</c:v>
                </c:pt>
                <c:pt idx="431">
                  <c:v>7.91</c:v>
                </c:pt>
                <c:pt idx="432">
                  <c:v>7.28</c:v>
                </c:pt>
                <c:pt idx="434">
                  <c:v>7.30</c:v>
                </c:pt>
                <c:pt idx="436">
                  <c:v>7.42</c:v>
                </c:pt>
                <c:pt idx="437">
                  <c:v>6.98</c:v>
                </c:pt>
                <c:pt idx="439">
                  <c:v>6.38</c:v>
                </c:pt>
                <c:pt idx="440">
                  <c:v>6.14</c:v>
                </c:pt>
                <c:pt idx="441">
                  <c:v>6.25</c:v>
                </c:pt>
                <c:pt idx="442">
                  <c:v>6.16</c:v>
                </c:pt>
                <c:pt idx="443">
                  <c:v>6.07</c:v>
                </c:pt>
                <c:pt idx="444">
                  <c:v>6.14</c:v>
                </c:pt>
                <c:pt idx="445">
                  <c:v>5.05</c:v>
                </c:pt>
                <c:pt idx="446">
                  <c:v>6.04</c:v>
                </c:pt>
                <c:pt idx="447">
                  <c:v>6.14</c:v>
                </c:pt>
                <c:pt idx="448">
                  <c:v>6.04</c:v>
                </c:pt>
                <c:pt idx="449">
                  <c:v>5.50</c:v>
                </c:pt>
                <c:pt idx="451">
                  <c:v>6.19</c:v>
                </c:pt>
                <c:pt idx="452">
                  <c:v>5.98</c:v>
                </c:pt>
                <c:pt idx="454">
                  <c:v>6.01</c:v>
                </c:pt>
                <c:pt idx="455">
                  <c:v>5.89</c:v>
                </c:pt>
                <c:pt idx="456">
                  <c:v>6.17</c:v>
                </c:pt>
                <c:pt idx="457">
                  <c:v>5.97</c:v>
                </c:pt>
                <c:pt idx="458">
                  <c:v>5.82</c:v>
                </c:pt>
                <c:pt idx="459">
                  <c:v>5.76</c:v>
                </c:pt>
                <c:pt idx="460">
                  <c:v>5.91</c:v>
                </c:pt>
                <c:pt idx="461">
                  <c:v>5.90</c:v>
                </c:pt>
                <c:pt idx="462">
                  <c:v>6.14</c:v>
                </c:pt>
                <c:pt idx="463">
                  <c:v>5.72</c:v>
                </c:pt>
                <c:pt idx="464">
                  <c:v>6.19</c:v>
                </c:pt>
                <c:pt idx="465">
                  <c:v>6.14</c:v>
                </c:pt>
                <c:pt idx="466">
                  <c:v>6.19</c:v>
                </c:pt>
                <c:pt idx="468">
                  <c:v>5.94</c:v>
                </c:pt>
                <c:pt idx="469">
                  <c:v>5.75</c:v>
                </c:pt>
                <c:pt idx="470">
                  <c:v>6.04</c:v>
                </c:pt>
                <c:pt idx="471">
                  <c:v>5.85</c:v>
                </c:pt>
                <c:pt idx="472">
                  <c:v>5.71</c:v>
                </c:pt>
                <c:pt idx="473">
                  <c:v>5.70</c:v>
                </c:pt>
                <c:pt idx="474">
                  <c:v>5.83</c:v>
                </c:pt>
                <c:pt idx="475">
                  <c:v>5.58</c:v>
                </c:pt>
                <c:pt idx="476">
                  <c:v>5.73</c:v>
                </c:pt>
                <c:pt idx="477">
                  <c:v>5.64</c:v>
                </c:pt>
                <c:pt idx="478">
                  <c:v>6.10</c:v>
                </c:pt>
                <c:pt idx="479">
                  <c:v>5.95</c:v>
                </c:pt>
                <c:pt idx="480">
                  <c:v>6.14</c:v>
                </c:pt>
                <c:pt idx="482">
                  <c:v>3.50</c:v>
                </c:pt>
                <c:pt idx="483">
                  <c:v>3.30</c:v>
                </c:pt>
                <c:pt idx="484">
                  <c:v>3.41</c:v>
                </c:pt>
                <c:pt idx="485">
                  <c:v>3.38</c:v>
                </c:pt>
                <c:pt idx="486">
                  <c:v>3.44</c:v>
                </c:pt>
                <c:pt idx="487">
                  <c:v>3.45</c:v>
                </c:pt>
                <c:pt idx="488">
                  <c:v>3.21</c:v>
                </c:pt>
                <c:pt idx="489">
                  <c:v>3.39</c:v>
                </c:pt>
                <c:pt idx="490">
                  <c:v>3.60</c:v>
                </c:pt>
                <c:pt idx="491">
                  <c:v>3.34</c:v>
                </c:pt>
                <c:pt idx="492">
                  <c:v>3.44</c:v>
                </c:pt>
                <c:pt idx="493">
                  <c:v>4.05</c:v>
                </c:pt>
                <c:pt idx="494">
                  <c:v>3.62</c:v>
                </c:pt>
                <c:pt idx="495">
                  <c:v>3.66</c:v>
                </c:pt>
                <c:pt idx="497">
                  <c:v>6.67</c:v>
                </c:pt>
                <c:pt idx="498">
                  <c:v>6.85</c:v>
                </c:pt>
                <c:pt idx="500">
                  <c:v>6.18</c:v>
                </c:pt>
                <c:pt idx="501">
                  <c:v>5.99</c:v>
                </c:pt>
                <c:pt idx="502">
                  <c:v>6.60</c:v>
                </c:pt>
                <c:pt idx="504">
                  <c:v>5.90</c:v>
                </c:pt>
                <c:pt idx="505">
                  <c:v>5.61</c:v>
                </c:pt>
                <c:pt idx="506">
                  <c:v>6.10</c:v>
                </c:pt>
                <c:pt idx="508">
                  <c:v>5.64</c:v>
                </c:pt>
                <c:pt idx="509">
                  <c:v>7.18</c:v>
                </c:pt>
                <c:pt idx="510">
                  <c:v>5.55</c:v>
                </c:pt>
                <c:pt idx="512">
                  <c:v>3.73</c:v>
                </c:pt>
                <c:pt idx="513">
                  <c:v>3.85</c:v>
                </c:pt>
                <c:pt idx="514">
                  <c:v>6.95</c:v>
                </c:pt>
                <c:pt idx="515">
                  <c:v>4.49</c:v>
                </c:pt>
                <c:pt idx="517">
                  <c:v>6.99</c:v>
                </c:pt>
                <c:pt idx="518">
                  <c:v>7.45</c:v>
                </c:pt>
                <c:pt idx="519">
                  <c:v>7.16</c:v>
                </c:pt>
                <c:pt idx="521">
                  <c:v>7.11</c:v>
                </c:pt>
                <c:pt idx="522">
                  <c:v>7.28</c:v>
                </c:pt>
                <c:pt idx="523">
                  <c:v>6.95</c:v>
                </c:pt>
                <c:pt idx="524">
                  <c:v>7.30</c:v>
                </c:pt>
                <c:pt idx="526">
                  <c:v>2.33</c:v>
                </c:pt>
                <c:pt idx="527">
                  <c:v>2.43</c:v>
                </c:pt>
                <c:pt idx="529">
                  <c:v>4.40</c:v>
                </c:pt>
                <c:pt idx="531">
                  <c:v>7.83</c:v>
                </c:pt>
                <c:pt idx="532">
                  <c:v>7.85</c:v>
                </c:pt>
                <c:pt idx="534">
                  <c:v>7.80</c:v>
                </c:pt>
                <c:pt idx="535">
                  <c:v>7.98</c:v>
                </c:pt>
                <c:pt idx="536">
                  <c:v>7.74</c:v>
                </c:pt>
                <c:pt idx="538">
                  <c:v>5.87</c:v>
                </c:pt>
                <c:pt idx="540">
                  <c:v>7.70</c:v>
                </c:pt>
                <c:pt idx="541">
                  <c:v>7.14</c:v>
                </c:pt>
                <c:pt idx="542">
                  <c:v>7.42</c:v>
                </c:pt>
              </c:strCache>
            </c:strRef>
          </c:xVal>
          <c:yVal>
            <c:numRef>
              <c:f>'Chemical Data'!$M$8:$M$551</c:f>
              <c:numCache>
                <c:formatCode>0.00</c:formatCode>
                <c:ptCount val="544"/>
                <c:pt idx="0">
                  <c:v>7.1</c:v>
                </c:pt>
                <c:pt idx="1">
                  <c:v>7</c:v>
                </c:pt>
                <c:pt idx="2">
                  <c:v>7.05</c:v>
                </c:pt>
                <c:pt idx="4">
                  <c:v>6.8</c:v>
                </c:pt>
                <c:pt idx="5">
                  <c:v>6.6</c:v>
                </c:pt>
                <c:pt idx="6">
                  <c:v>6.6999999999999993</c:v>
                </c:pt>
                <c:pt idx="8">
                  <c:v>6.8</c:v>
                </c:pt>
                <c:pt idx="9">
                  <c:v>6.8</c:v>
                </c:pt>
                <c:pt idx="10">
                  <c:v>6.8</c:v>
                </c:pt>
                <c:pt idx="12">
                  <c:v>7.4</c:v>
                </c:pt>
                <c:pt idx="13">
                  <c:v>7.2</c:v>
                </c:pt>
                <c:pt idx="14">
                  <c:v>7.3000000000000007</c:v>
                </c:pt>
                <c:pt idx="16">
                  <c:v>4.8</c:v>
                </c:pt>
                <c:pt idx="17">
                  <c:v>6.8</c:v>
                </c:pt>
                <c:pt idx="18">
                  <c:v>6.9</c:v>
                </c:pt>
                <c:pt idx="19">
                  <c:v>6.85</c:v>
                </c:pt>
                <c:pt idx="21">
                  <c:v>7.5</c:v>
                </c:pt>
                <c:pt idx="22">
                  <c:v>7.3</c:v>
                </c:pt>
                <c:pt idx="23">
                  <c:v>7.4</c:v>
                </c:pt>
                <c:pt idx="25">
                  <c:v>6.9</c:v>
                </c:pt>
                <c:pt idx="26">
                  <c:v>7.3</c:v>
                </c:pt>
                <c:pt idx="27">
                  <c:v>7</c:v>
                </c:pt>
                <c:pt idx="28">
                  <c:v>7.15</c:v>
                </c:pt>
                <c:pt idx="30">
                  <c:v>7.04</c:v>
                </c:pt>
                <c:pt idx="31">
                  <c:v>7.2</c:v>
                </c:pt>
                <c:pt idx="32">
                  <c:v>6.7</c:v>
                </c:pt>
                <c:pt idx="33">
                  <c:v>6.95</c:v>
                </c:pt>
                <c:pt idx="35">
                  <c:v>7.4</c:v>
                </c:pt>
                <c:pt idx="36">
                  <c:v>7.2</c:v>
                </c:pt>
                <c:pt idx="37">
                  <c:v>6.9</c:v>
                </c:pt>
                <c:pt idx="38">
                  <c:v>6.7</c:v>
                </c:pt>
                <c:pt idx="39">
                  <c:v>6.5</c:v>
                </c:pt>
                <c:pt idx="40" formatCode="#,##0.00">
                  <c:v>6.5</c:v>
                </c:pt>
                <c:pt idx="41">
                  <c:v>6.8666666666666671</c:v>
                </c:pt>
                <c:pt idx="43">
                  <c:v>4.2</c:v>
                </c:pt>
                <c:pt idx="44">
                  <c:v>4.3</c:v>
                </c:pt>
                <c:pt idx="45">
                  <c:v>4.25</c:v>
                </c:pt>
                <c:pt idx="47">
                  <c:v>3.9</c:v>
                </c:pt>
                <c:pt idx="48">
                  <c:v>4.3</c:v>
                </c:pt>
                <c:pt idx="49">
                  <c:v>4.5</c:v>
                </c:pt>
                <c:pt idx="50">
                  <c:v>4.4000000000000004</c:v>
                </c:pt>
                <c:pt idx="53">
                  <c:v>6.4</c:v>
                </c:pt>
                <c:pt idx="54">
                  <c:v>6.4</c:v>
                </c:pt>
                <c:pt idx="56">
                  <c:v>6.8</c:v>
                </c:pt>
                <c:pt idx="57">
                  <c:v>6.74</c:v>
                </c:pt>
                <c:pt idx="58">
                  <c:v>6.71</c:v>
                </c:pt>
                <c:pt idx="59">
                  <c:v>7.19</c:v>
                </c:pt>
                <c:pt idx="60">
                  <c:v>6.88</c:v>
                </c:pt>
                <c:pt idx="61">
                  <c:v>7.35</c:v>
                </c:pt>
                <c:pt idx="62">
                  <c:v>6.87</c:v>
                </c:pt>
                <c:pt idx="63">
                  <c:v>6.79</c:v>
                </c:pt>
                <c:pt idx="64">
                  <c:v>6.7</c:v>
                </c:pt>
                <c:pt idx="65">
                  <c:v>6.72</c:v>
                </c:pt>
                <c:pt idx="66">
                  <c:v>7.06</c:v>
                </c:pt>
                <c:pt idx="67">
                  <c:v>6.64</c:v>
                </c:pt>
                <c:pt idx="68">
                  <c:v>7.26</c:v>
                </c:pt>
                <c:pt idx="69">
                  <c:v>7.5</c:v>
                </c:pt>
                <c:pt idx="70">
                  <c:v>7.3</c:v>
                </c:pt>
                <c:pt idx="71">
                  <c:v>7.2</c:v>
                </c:pt>
                <c:pt idx="72">
                  <c:v>6.8</c:v>
                </c:pt>
                <c:pt idx="73">
                  <c:v>6.8</c:v>
                </c:pt>
                <c:pt idx="74">
                  <c:v>6.5</c:v>
                </c:pt>
                <c:pt idx="75">
                  <c:v>7.0166666666666666</c:v>
                </c:pt>
                <c:pt idx="77">
                  <c:v>8.4</c:v>
                </c:pt>
                <c:pt idx="78">
                  <c:v>8.1</c:v>
                </c:pt>
                <c:pt idx="79">
                  <c:v>7.6</c:v>
                </c:pt>
                <c:pt idx="80">
                  <c:v>6.8</c:v>
                </c:pt>
                <c:pt idx="81">
                  <c:v>7.1</c:v>
                </c:pt>
                <c:pt idx="82">
                  <c:v>8.1</c:v>
                </c:pt>
                <c:pt idx="83">
                  <c:v>7</c:v>
                </c:pt>
                <c:pt idx="84">
                  <c:v>7.45</c:v>
                </c:pt>
                <c:pt idx="86">
                  <c:v>8.1</c:v>
                </c:pt>
                <c:pt idx="87">
                  <c:v>7.33</c:v>
                </c:pt>
                <c:pt idx="88">
                  <c:v>7.66</c:v>
                </c:pt>
                <c:pt idx="89">
                  <c:v>8.42</c:v>
                </c:pt>
                <c:pt idx="90">
                  <c:v>8.34</c:v>
                </c:pt>
                <c:pt idx="91">
                  <c:v>8.23</c:v>
                </c:pt>
                <c:pt idx="92">
                  <c:v>7.58</c:v>
                </c:pt>
                <c:pt idx="93">
                  <c:v>7.42</c:v>
                </c:pt>
                <c:pt idx="94">
                  <c:v>6.95</c:v>
                </c:pt>
                <c:pt idx="95">
                  <c:v>7.76</c:v>
                </c:pt>
                <c:pt idx="96">
                  <c:v>7.69</c:v>
                </c:pt>
                <c:pt idx="97">
                  <c:v>7.35</c:v>
                </c:pt>
                <c:pt idx="98">
                  <c:v>8.1</c:v>
                </c:pt>
                <c:pt idx="99">
                  <c:v>8</c:v>
                </c:pt>
                <c:pt idx="100">
                  <c:v>7.4</c:v>
                </c:pt>
                <c:pt idx="101">
                  <c:v>7</c:v>
                </c:pt>
                <c:pt idx="102">
                  <c:v>7</c:v>
                </c:pt>
                <c:pt idx="103">
                  <c:v>7.9</c:v>
                </c:pt>
                <c:pt idx="104">
                  <c:v>6.8</c:v>
                </c:pt>
                <c:pt idx="105">
                  <c:v>7.3499999999999988</c:v>
                </c:pt>
                <c:pt idx="107">
                  <c:v>2.9</c:v>
                </c:pt>
                <c:pt idx="108">
                  <c:v>2.8</c:v>
                </c:pt>
                <c:pt idx="109">
                  <c:v>2.9</c:v>
                </c:pt>
                <c:pt idx="110">
                  <c:v>3</c:v>
                </c:pt>
                <c:pt idx="111">
                  <c:v>3</c:v>
                </c:pt>
                <c:pt idx="112">
                  <c:v>3.1</c:v>
                </c:pt>
                <c:pt idx="113">
                  <c:v>3.1</c:v>
                </c:pt>
                <c:pt idx="114">
                  <c:v>2.9</c:v>
                </c:pt>
                <c:pt idx="115">
                  <c:v>2.8</c:v>
                </c:pt>
                <c:pt idx="116">
                  <c:v>3.1</c:v>
                </c:pt>
                <c:pt idx="117">
                  <c:v>3</c:v>
                </c:pt>
                <c:pt idx="118">
                  <c:v>2.72</c:v>
                </c:pt>
                <c:pt idx="119">
                  <c:v>2.77</c:v>
                </c:pt>
                <c:pt idx="120">
                  <c:v>2.77</c:v>
                </c:pt>
                <c:pt idx="121">
                  <c:v>2.99</c:v>
                </c:pt>
                <c:pt idx="122">
                  <c:v>2.96</c:v>
                </c:pt>
                <c:pt idx="123">
                  <c:v>2.94</c:v>
                </c:pt>
                <c:pt idx="124">
                  <c:v>2.86</c:v>
                </c:pt>
                <c:pt idx="125">
                  <c:v>3.03</c:v>
                </c:pt>
                <c:pt idx="126">
                  <c:v>2.88</c:v>
                </c:pt>
                <c:pt idx="127">
                  <c:v>2.81</c:v>
                </c:pt>
                <c:pt idx="128">
                  <c:v>2.77</c:v>
                </c:pt>
                <c:pt idx="129">
                  <c:v>2.84</c:v>
                </c:pt>
                <c:pt idx="130">
                  <c:v>2.9</c:v>
                </c:pt>
                <c:pt idx="131">
                  <c:v>2.9</c:v>
                </c:pt>
                <c:pt idx="132">
                  <c:v>2.9</c:v>
                </c:pt>
                <c:pt idx="133">
                  <c:v>2.9</c:v>
                </c:pt>
                <c:pt idx="134">
                  <c:v>2.9</c:v>
                </c:pt>
                <c:pt idx="135">
                  <c:v>2.9</c:v>
                </c:pt>
                <c:pt idx="136">
                  <c:v>2.9</c:v>
                </c:pt>
                <c:pt idx="138">
                  <c:v>7.2</c:v>
                </c:pt>
                <c:pt idx="139">
                  <c:v>3.25</c:v>
                </c:pt>
                <c:pt idx="140">
                  <c:v>4.53</c:v>
                </c:pt>
                <c:pt idx="141">
                  <c:v>8.02</c:v>
                </c:pt>
                <c:pt idx="142">
                  <c:v>8.25</c:v>
                </c:pt>
                <c:pt idx="143">
                  <c:v>8.23</c:v>
                </c:pt>
                <c:pt idx="144">
                  <c:v>7.37</c:v>
                </c:pt>
                <c:pt idx="145">
                  <c:v>7.26</c:v>
                </c:pt>
                <c:pt idx="146">
                  <c:v>6.96</c:v>
                </c:pt>
                <c:pt idx="147">
                  <c:v>7.33</c:v>
                </c:pt>
                <c:pt idx="148">
                  <c:v>7.48</c:v>
                </c:pt>
                <c:pt idx="149">
                  <c:v>7.32</c:v>
                </c:pt>
                <c:pt idx="150">
                  <c:v>7.94</c:v>
                </c:pt>
                <c:pt idx="151">
                  <c:v>7.7</c:v>
                </c:pt>
                <c:pt idx="152">
                  <c:v>7.3</c:v>
                </c:pt>
                <c:pt idx="153">
                  <c:v>6.8</c:v>
                </c:pt>
                <c:pt idx="154">
                  <c:v>6.8</c:v>
                </c:pt>
                <c:pt idx="155">
                  <c:v>7.7</c:v>
                </c:pt>
                <c:pt idx="156">
                  <c:v>6.8</c:v>
                </c:pt>
                <c:pt idx="157">
                  <c:v>7.4</c:v>
                </c:pt>
                <c:pt idx="158">
                  <c:v>7.9</c:v>
                </c:pt>
                <c:pt idx="159" formatCode="0">
                  <c:v>7.3</c:v>
                </c:pt>
                <c:pt idx="161">
                  <c:v>6.6</c:v>
                </c:pt>
                <c:pt idx="162">
                  <c:v>7</c:v>
                </c:pt>
                <c:pt idx="163">
                  <c:v>6.8</c:v>
                </c:pt>
                <c:pt idx="164" formatCode="General">
                  <c:v>6.7</c:v>
                </c:pt>
                <c:pt idx="165" formatCode="General">
                  <c:v>6.6</c:v>
                </c:pt>
                <c:pt idx="166" formatCode="General">
                  <c:v>6.7</c:v>
                </c:pt>
                <c:pt idx="167">
                  <c:v>6.8</c:v>
                </c:pt>
                <c:pt idx="168">
                  <c:v>6.5</c:v>
                </c:pt>
                <c:pt idx="169">
                  <c:v>6.6</c:v>
                </c:pt>
                <c:pt idx="170">
                  <c:v>6.4</c:v>
                </c:pt>
                <c:pt idx="171">
                  <c:v>7.1</c:v>
                </c:pt>
                <c:pt idx="172">
                  <c:v>6.4</c:v>
                </c:pt>
                <c:pt idx="173">
                  <c:v>6.6</c:v>
                </c:pt>
                <c:pt idx="174">
                  <c:v>6.3</c:v>
                </c:pt>
                <c:pt idx="175">
                  <c:v>7</c:v>
                </c:pt>
                <c:pt idx="176">
                  <c:v>7</c:v>
                </c:pt>
                <c:pt idx="177" formatCode="#,##0">
                  <c:v>6.6785714285714288</c:v>
                </c:pt>
                <c:pt idx="179" formatCode="#,##0.00">
                  <c:v>3.3</c:v>
                </c:pt>
                <c:pt idx="180" formatCode="#,##0.00">
                  <c:v>3.1</c:v>
                </c:pt>
                <c:pt idx="181" formatCode="#,##0.00">
                  <c:v>3.5</c:v>
                </c:pt>
                <c:pt idx="182" formatCode="#,##0.00">
                  <c:v>3.6</c:v>
                </c:pt>
                <c:pt idx="183" formatCode="#,##0.00">
                  <c:v>3</c:v>
                </c:pt>
                <c:pt idx="184">
                  <c:v>3.1</c:v>
                </c:pt>
                <c:pt idx="185" formatCode="#,##0.00">
                  <c:v>3.8</c:v>
                </c:pt>
                <c:pt idx="186" formatCode="#,##0.00">
                  <c:v>3.7</c:v>
                </c:pt>
                <c:pt idx="188" formatCode="#,##0">
                  <c:v>3.3875000000000002</c:v>
                </c:pt>
                <c:pt idx="190">
                  <c:v>2.8</c:v>
                </c:pt>
                <c:pt idx="191">
                  <c:v>3</c:v>
                </c:pt>
                <c:pt idx="192">
                  <c:v>2.8</c:v>
                </c:pt>
                <c:pt idx="193" formatCode="#,##0">
                  <c:v>2.8666666666666667</c:v>
                </c:pt>
                <c:pt idx="205" formatCode="#,##0.00">
                  <c:v>2.9</c:v>
                </c:pt>
                <c:pt idx="206" formatCode="#,##0.00">
                  <c:v>2.7</c:v>
                </c:pt>
                <c:pt idx="207" formatCode="#,##0.00">
                  <c:v>2.7</c:v>
                </c:pt>
                <c:pt idx="208" formatCode="#,##0.00">
                  <c:v>2.7</c:v>
                </c:pt>
                <c:pt idx="209" formatCode="#,##0.00">
                  <c:v>2.7</c:v>
                </c:pt>
                <c:pt idx="210" formatCode="#,##0.00">
                  <c:v>2.7</c:v>
                </c:pt>
                <c:pt idx="211" formatCode="#,##0.00">
                  <c:v>2.7</c:v>
                </c:pt>
                <c:pt idx="212" formatCode="#,##0.00">
                  <c:v>2.7</c:v>
                </c:pt>
                <c:pt idx="213" formatCode="#,##0.00">
                  <c:v>2.7</c:v>
                </c:pt>
                <c:pt idx="214" formatCode="#,##0.00">
                  <c:v>2.8</c:v>
                </c:pt>
                <c:pt idx="215" formatCode="#,##0.00">
                  <c:v>2.8</c:v>
                </c:pt>
                <c:pt idx="216" formatCode="#,##0.00">
                  <c:v>2.8</c:v>
                </c:pt>
                <c:pt idx="217" formatCode="#,##0.00">
                  <c:v>2.7416666666666667</c:v>
                </c:pt>
                <c:pt idx="219" formatCode="#,##0.00">
                  <c:v>4.8</c:v>
                </c:pt>
                <c:pt idx="223" formatCode="#,##0.00">
                  <c:v>4.4000000000000004</c:v>
                </c:pt>
                <c:pt idx="225">
                  <c:v>4</c:v>
                </c:pt>
                <c:pt idx="226">
                  <c:v>4.3</c:v>
                </c:pt>
                <c:pt idx="227">
                  <c:v>4.2</c:v>
                </c:pt>
                <c:pt idx="228" formatCode="#,##0">
                  <c:v>4.25</c:v>
                </c:pt>
                <c:pt idx="230" formatCode="#,##0.00">
                  <c:v>4</c:v>
                </c:pt>
                <c:pt idx="231" formatCode="#,##0.00">
                  <c:v>3.2</c:v>
                </c:pt>
                <c:pt idx="232" formatCode="#,##0.00">
                  <c:v>4.5</c:v>
                </c:pt>
                <c:pt idx="236" formatCode="#,##0">
                  <c:v>3.9</c:v>
                </c:pt>
                <c:pt idx="238" formatCode="#,##0.00">
                  <c:v>4.3</c:v>
                </c:pt>
                <c:pt idx="239" formatCode="#,##0.00">
                  <c:v>4.0999999999999996</c:v>
                </c:pt>
                <c:pt idx="240" formatCode="#,##0.00">
                  <c:v>3.7</c:v>
                </c:pt>
                <c:pt idx="241" formatCode="#,##0.00">
                  <c:v>4</c:v>
                </c:pt>
                <c:pt idx="243" formatCode="#,##0">
                  <c:v>4.0249999999999995</c:v>
                </c:pt>
                <c:pt idx="245">
                  <c:v>7.6</c:v>
                </c:pt>
                <c:pt idx="246">
                  <c:v>7.6</c:v>
                </c:pt>
                <c:pt idx="247">
                  <c:v>7.2</c:v>
                </c:pt>
                <c:pt idx="248">
                  <c:v>6.8</c:v>
                </c:pt>
                <c:pt idx="249">
                  <c:v>6.9</c:v>
                </c:pt>
                <c:pt idx="250">
                  <c:v>7.6</c:v>
                </c:pt>
                <c:pt idx="251">
                  <c:v>6.7</c:v>
                </c:pt>
                <c:pt idx="252">
                  <c:v>7.1</c:v>
                </c:pt>
                <c:pt idx="253">
                  <c:v>6.9</c:v>
                </c:pt>
                <c:pt idx="254">
                  <c:v>7.1000000000000005</c:v>
                </c:pt>
                <c:pt idx="256">
                  <c:v>6.4</c:v>
                </c:pt>
                <c:pt idx="257">
                  <c:v>4.5</c:v>
                </c:pt>
                <c:pt idx="258">
                  <c:v>5.2</c:v>
                </c:pt>
                <c:pt idx="259">
                  <c:v>4.8</c:v>
                </c:pt>
                <c:pt idx="260">
                  <c:v>4.5999999999999996</c:v>
                </c:pt>
                <c:pt idx="261">
                  <c:v>3.1</c:v>
                </c:pt>
                <c:pt idx="262">
                  <c:v>4</c:v>
                </c:pt>
                <c:pt idx="263">
                  <c:v>4.7</c:v>
                </c:pt>
                <c:pt idx="264">
                  <c:v>4.5999999999999996</c:v>
                </c:pt>
                <c:pt idx="265">
                  <c:v>4.8</c:v>
                </c:pt>
                <c:pt idx="266">
                  <c:v>4.8</c:v>
                </c:pt>
                <c:pt idx="267">
                  <c:v>6.7</c:v>
                </c:pt>
                <c:pt idx="268">
                  <c:v>7</c:v>
                </c:pt>
                <c:pt idx="269">
                  <c:v>6.4</c:v>
                </c:pt>
                <c:pt idx="270">
                  <c:v>6.5</c:v>
                </c:pt>
                <c:pt idx="271">
                  <c:v>6.2</c:v>
                </c:pt>
                <c:pt idx="272">
                  <c:v>6.3</c:v>
                </c:pt>
                <c:pt idx="273">
                  <c:v>6.5166666666666666</c:v>
                </c:pt>
                <c:pt idx="275">
                  <c:v>7.5</c:v>
                </c:pt>
                <c:pt idx="276">
                  <c:v>7.2</c:v>
                </c:pt>
                <c:pt idx="277">
                  <c:v>6.8</c:v>
                </c:pt>
                <c:pt idx="278">
                  <c:v>6.5</c:v>
                </c:pt>
                <c:pt idx="279">
                  <c:v>7.6</c:v>
                </c:pt>
                <c:pt idx="280">
                  <c:v>6.7</c:v>
                </c:pt>
                <c:pt idx="281">
                  <c:v>7.0500000000000007</c:v>
                </c:pt>
                <c:pt idx="283">
                  <c:v>5.9</c:v>
                </c:pt>
                <c:pt idx="284">
                  <c:v>7.3</c:v>
                </c:pt>
                <c:pt idx="285">
                  <c:v>7.2</c:v>
                </c:pt>
                <c:pt idx="286">
                  <c:v>7.5</c:v>
                </c:pt>
                <c:pt idx="287">
                  <c:v>8.4</c:v>
                </c:pt>
                <c:pt idx="288">
                  <c:v>6.4</c:v>
                </c:pt>
                <c:pt idx="289">
                  <c:v>5.6</c:v>
                </c:pt>
                <c:pt idx="290">
                  <c:v>7.1</c:v>
                </c:pt>
                <c:pt idx="291">
                  <c:v>6.8</c:v>
                </c:pt>
                <c:pt idx="292">
                  <c:v>7.3</c:v>
                </c:pt>
                <c:pt idx="293">
                  <c:v>7.3</c:v>
                </c:pt>
                <c:pt idx="294">
                  <c:v>6.5</c:v>
                </c:pt>
                <c:pt idx="295">
                  <c:v>6.8</c:v>
                </c:pt>
                <c:pt idx="296">
                  <c:v>6.6</c:v>
                </c:pt>
                <c:pt idx="297">
                  <c:v>6.5</c:v>
                </c:pt>
                <c:pt idx="298">
                  <c:v>6.7</c:v>
                </c:pt>
                <c:pt idx="299">
                  <c:v>6.8</c:v>
                </c:pt>
                <c:pt idx="300">
                  <c:v>6.6</c:v>
                </c:pt>
                <c:pt idx="301">
                  <c:v>7</c:v>
                </c:pt>
                <c:pt idx="302">
                  <c:v>6.7</c:v>
                </c:pt>
                <c:pt idx="303">
                  <c:v>6.3</c:v>
                </c:pt>
                <c:pt idx="304">
                  <c:v>6.2</c:v>
                </c:pt>
                <c:pt idx="305">
                  <c:v>6.7</c:v>
                </c:pt>
                <c:pt idx="306">
                  <c:v>6.5</c:v>
                </c:pt>
                <c:pt idx="307">
                  <c:v>6.4</c:v>
                </c:pt>
                <c:pt idx="308" formatCode="#,##0">
                  <c:v>6.5500000000000007</c:v>
                </c:pt>
                <c:pt idx="310">
                  <c:v>7.14</c:v>
                </c:pt>
                <c:pt idx="311">
                  <c:v>7.31</c:v>
                </c:pt>
                <c:pt idx="312">
                  <c:v>8.1</c:v>
                </c:pt>
                <c:pt idx="313">
                  <c:v>8</c:v>
                </c:pt>
                <c:pt idx="314">
                  <c:v>7.69</c:v>
                </c:pt>
                <c:pt idx="315">
                  <c:v>7.27</c:v>
                </c:pt>
                <c:pt idx="316">
                  <c:v>7.38</c:v>
                </c:pt>
                <c:pt idx="317">
                  <c:v>6.88</c:v>
                </c:pt>
                <c:pt idx="318">
                  <c:v>7.09</c:v>
                </c:pt>
                <c:pt idx="319">
                  <c:v>6.29</c:v>
                </c:pt>
                <c:pt idx="320">
                  <c:v>6.98</c:v>
                </c:pt>
                <c:pt idx="321">
                  <c:v>7.65</c:v>
                </c:pt>
                <c:pt idx="322">
                  <c:v>7.4</c:v>
                </c:pt>
                <c:pt idx="323">
                  <c:v>7.2</c:v>
                </c:pt>
                <c:pt idx="324">
                  <c:v>6.7</c:v>
                </c:pt>
                <c:pt idx="325">
                  <c:v>6.8</c:v>
                </c:pt>
                <c:pt idx="326">
                  <c:v>7.4</c:v>
                </c:pt>
                <c:pt idx="327">
                  <c:v>6.6</c:v>
                </c:pt>
                <c:pt idx="328">
                  <c:v>7.1</c:v>
                </c:pt>
                <c:pt idx="330">
                  <c:v>3.2</c:v>
                </c:pt>
                <c:pt idx="331">
                  <c:v>3.4</c:v>
                </c:pt>
                <c:pt idx="332">
                  <c:v>3</c:v>
                </c:pt>
                <c:pt idx="333">
                  <c:v>5.8</c:v>
                </c:pt>
                <c:pt idx="334">
                  <c:v>3</c:v>
                </c:pt>
                <c:pt idx="335">
                  <c:v>2.9</c:v>
                </c:pt>
                <c:pt idx="336">
                  <c:v>2.84</c:v>
                </c:pt>
                <c:pt idx="337">
                  <c:v>2.91</c:v>
                </c:pt>
                <c:pt idx="338">
                  <c:v>3.18</c:v>
                </c:pt>
                <c:pt idx="339">
                  <c:v>3</c:v>
                </c:pt>
                <c:pt idx="340">
                  <c:v>3.05</c:v>
                </c:pt>
                <c:pt idx="341">
                  <c:v>4.22</c:v>
                </c:pt>
                <c:pt idx="342">
                  <c:v>3</c:v>
                </c:pt>
                <c:pt idx="343">
                  <c:v>2.78</c:v>
                </c:pt>
                <c:pt idx="344">
                  <c:v>3.5</c:v>
                </c:pt>
                <c:pt idx="345">
                  <c:v>2.77</c:v>
                </c:pt>
                <c:pt idx="346">
                  <c:v>2.59</c:v>
                </c:pt>
                <c:pt idx="347">
                  <c:v>3.1</c:v>
                </c:pt>
                <c:pt idx="348">
                  <c:v>3.1</c:v>
                </c:pt>
                <c:pt idx="349">
                  <c:v>3.1</c:v>
                </c:pt>
                <c:pt idx="350">
                  <c:v>3.6</c:v>
                </c:pt>
                <c:pt idx="351">
                  <c:v>3.1</c:v>
                </c:pt>
                <c:pt idx="352">
                  <c:v>3.1</c:v>
                </c:pt>
                <c:pt idx="353">
                  <c:v>3.1</c:v>
                </c:pt>
                <c:pt idx="354">
                  <c:v>3.1</c:v>
                </c:pt>
                <c:pt idx="355">
                  <c:v>4.5999999999999996</c:v>
                </c:pt>
                <c:pt idx="356">
                  <c:v>3.1</c:v>
                </c:pt>
                <c:pt idx="357">
                  <c:v>2.9</c:v>
                </c:pt>
                <c:pt idx="358">
                  <c:v>3.9</c:v>
                </c:pt>
                <c:pt idx="359">
                  <c:v>3.5</c:v>
                </c:pt>
                <c:pt idx="360">
                  <c:v>3</c:v>
                </c:pt>
                <c:pt idx="361">
                  <c:v>3</c:v>
                </c:pt>
                <c:pt idx="362">
                  <c:v>3.3</c:v>
                </c:pt>
                <c:pt idx="363">
                  <c:v>3.8</c:v>
                </c:pt>
                <c:pt idx="364">
                  <c:v>2.9</c:v>
                </c:pt>
                <c:pt idx="365">
                  <c:v>3.1</c:v>
                </c:pt>
                <c:pt idx="366">
                  <c:v>4.3</c:v>
                </c:pt>
                <c:pt idx="367">
                  <c:v>2.9</c:v>
                </c:pt>
                <c:pt idx="368">
                  <c:v>4.3</c:v>
                </c:pt>
                <c:pt idx="369">
                  <c:v>3.2</c:v>
                </c:pt>
                <c:pt idx="370">
                  <c:v>3.3</c:v>
                </c:pt>
                <c:pt idx="371">
                  <c:v>2.8</c:v>
                </c:pt>
                <c:pt idx="372">
                  <c:v>3</c:v>
                </c:pt>
                <c:pt idx="373">
                  <c:v>3.3</c:v>
                </c:pt>
                <c:pt idx="375">
                  <c:v>5.3</c:v>
                </c:pt>
                <c:pt idx="376">
                  <c:v>5.8</c:v>
                </c:pt>
                <c:pt idx="377">
                  <c:v>6.5</c:v>
                </c:pt>
                <c:pt idx="378">
                  <c:v>6.6</c:v>
                </c:pt>
                <c:pt idx="379">
                  <c:v>5.2</c:v>
                </c:pt>
                <c:pt idx="380">
                  <c:v>7</c:v>
                </c:pt>
                <c:pt idx="381">
                  <c:v>6.5</c:v>
                </c:pt>
                <c:pt idx="382">
                  <c:v>8</c:v>
                </c:pt>
                <c:pt idx="383">
                  <c:v>7.1</c:v>
                </c:pt>
                <c:pt idx="384">
                  <c:v>7.4</c:v>
                </c:pt>
                <c:pt idx="385">
                  <c:v>7.4</c:v>
                </c:pt>
                <c:pt idx="386">
                  <c:v>7.2</c:v>
                </c:pt>
                <c:pt idx="387">
                  <c:v>6.9</c:v>
                </c:pt>
                <c:pt idx="388">
                  <c:v>6.3</c:v>
                </c:pt>
                <c:pt idx="389">
                  <c:v>7.7</c:v>
                </c:pt>
                <c:pt idx="390">
                  <c:v>6.6</c:v>
                </c:pt>
                <c:pt idx="391">
                  <c:v>7.0166666666666666</c:v>
                </c:pt>
                <c:pt idx="393">
                  <c:v>6.3</c:v>
                </c:pt>
                <c:pt idx="394">
                  <c:v>6</c:v>
                </c:pt>
                <c:pt idx="395">
                  <c:v>5.8</c:v>
                </c:pt>
                <c:pt idx="396">
                  <c:v>6</c:v>
                </c:pt>
                <c:pt idx="397">
                  <c:v>5.8</c:v>
                </c:pt>
                <c:pt idx="398">
                  <c:v>5.9</c:v>
                </c:pt>
                <c:pt idx="399">
                  <c:v>5.7</c:v>
                </c:pt>
                <c:pt idx="400">
                  <c:v>6.1</c:v>
                </c:pt>
                <c:pt idx="401">
                  <c:v>6.4</c:v>
                </c:pt>
                <c:pt idx="402">
                  <c:v>6.5</c:v>
                </c:pt>
                <c:pt idx="403">
                  <c:v>6.8</c:v>
                </c:pt>
                <c:pt idx="404">
                  <c:v>4.8600000000000003</c:v>
                </c:pt>
                <c:pt idx="405">
                  <c:v>6.21</c:v>
                </c:pt>
                <c:pt idx="406">
                  <c:v>6.9</c:v>
                </c:pt>
                <c:pt idx="407">
                  <c:v>5.83</c:v>
                </c:pt>
                <c:pt idx="408">
                  <c:v>6.6</c:v>
                </c:pt>
                <c:pt idx="409">
                  <c:v>6.24</c:v>
                </c:pt>
                <c:pt idx="410">
                  <c:v>6.7</c:v>
                </c:pt>
                <c:pt idx="411">
                  <c:v>6.7</c:v>
                </c:pt>
                <c:pt idx="412">
                  <c:v>6.86</c:v>
                </c:pt>
                <c:pt idx="413">
                  <c:v>6.27</c:v>
                </c:pt>
                <c:pt idx="414">
                  <c:v>6.04</c:v>
                </c:pt>
                <c:pt idx="415">
                  <c:v>5.82</c:v>
                </c:pt>
                <c:pt idx="416">
                  <c:v>6.5</c:v>
                </c:pt>
                <c:pt idx="417">
                  <c:v>6.7</c:v>
                </c:pt>
                <c:pt idx="418">
                  <c:v>6.8</c:v>
                </c:pt>
                <c:pt idx="419">
                  <c:v>6.6</c:v>
                </c:pt>
                <c:pt idx="420">
                  <c:v>6.2</c:v>
                </c:pt>
                <c:pt idx="421">
                  <c:v>6.6</c:v>
                </c:pt>
                <c:pt idx="422">
                  <c:v>6.3</c:v>
                </c:pt>
                <c:pt idx="423">
                  <c:v>6.3</c:v>
                </c:pt>
                <c:pt idx="424" formatCode="#,##0.00">
                  <c:v>6.4999999999999991</c:v>
                </c:pt>
                <c:pt idx="426">
                  <c:v>7.4</c:v>
                </c:pt>
                <c:pt idx="427">
                  <c:v>6.5</c:v>
                </c:pt>
                <c:pt idx="428">
                  <c:v>7.4</c:v>
                </c:pt>
                <c:pt idx="429">
                  <c:v>7.1</c:v>
                </c:pt>
                <c:pt idx="430">
                  <c:v>6.7</c:v>
                </c:pt>
                <c:pt idx="431">
                  <c:v>7.3</c:v>
                </c:pt>
                <c:pt idx="432">
                  <c:v>7.7</c:v>
                </c:pt>
                <c:pt idx="434">
                  <c:v>6.8</c:v>
                </c:pt>
                <c:pt idx="436">
                  <c:v>6.8</c:v>
                </c:pt>
                <c:pt idx="437">
                  <c:v>7.2</c:v>
                </c:pt>
                <c:pt idx="439">
                  <c:v>5.9</c:v>
                </c:pt>
                <c:pt idx="440">
                  <c:v>5.9</c:v>
                </c:pt>
                <c:pt idx="441" formatCode="#,##0.00">
                  <c:v>5.8</c:v>
                </c:pt>
                <c:pt idx="442">
                  <c:v>5.9</c:v>
                </c:pt>
                <c:pt idx="443">
                  <c:v>6</c:v>
                </c:pt>
                <c:pt idx="444">
                  <c:v>6.1</c:v>
                </c:pt>
                <c:pt idx="445" formatCode="0.0">
                  <c:v>5.7</c:v>
                </c:pt>
                <c:pt idx="446">
                  <c:v>5.3</c:v>
                </c:pt>
                <c:pt idx="447">
                  <c:v>5.7</c:v>
                </c:pt>
                <c:pt idx="448">
                  <c:v>5.9</c:v>
                </c:pt>
                <c:pt idx="449">
                  <c:v>6</c:v>
                </c:pt>
                <c:pt idx="450">
                  <c:v>5.9</c:v>
                </c:pt>
                <c:pt idx="451">
                  <c:v>5.4</c:v>
                </c:pt>
                <c:pt idx="452">
                  <c:v>5.5</c:v>
                </c:pt>
                <c:pt idx="454">
                  <c:v>6</c:v>
                </c:pt>
                <c:pt idx="455">
                  <c:v>5.9</c:v>
                </c:pt>
                <c:pt idx="456" formatCode="#,##0.00">
                  <c:v>5.8</c:v>
                </c:pt>
                <c:pt idx="457">
                  <c:v>6</c:v>
                </c:pt>
                <c:pt idx="458">
                  <c:v>6.1</c:v>
                </c:pt>
                <c:pt idx="459">
                  <c:v>5.8</c:v>
                </c:pt>
                <c:pt idx="460">
                  <c:v>5.9</c:v>
                </c:pt>
                <c:pt idx="461">
                  <c:v>5.8</c:v>
                </c:pt>
                <c:pt idx="462">
                  <c:v>5.9</c:v>
                </c:pt>
                <c:pt idx="463">
                  <c:v>6.2</c:v>
                </c:pt>
                <c:pt idx="464">
                  <c:v>5.9</c:v>
                </c:pt>
                <c:pt idx="465">
                  <c:v>5.9</c:v>
                </c:pt>
                <c:pt idx="466">
                  <c:v>5.5</c:v>
                </c:pt>
                <c:pt idx="468">
                  <c:v>6</c:v>
                </c:pt>
                <c:pt idx="469">
                  <c:v>5.7</c:v>
                </c:pt>
                <c:pt idx="470" formatCode="#,##0.00">
                  <c:v>5.8</c:v>
                </c:pt>
                <c:pt idx="471">
                  <c:v>5.8</c:v>
                </c:pt>
                <c:pt idx="472">
                  <c:v>6</c:v>
                </c:pt>
                <c:pt idx="473" formatCode="#,##0.00">
                  <c:v>5.8</c:v>
                </c:pt>
                <c:pt idx="474">
                  <c:v>5.7</c:v>
                </c:pt>
                <c:pt idx="475">
                  <c:v>5.8</c:v>
                </c:pt>
                <c:pt idx="476">
                  <c:v>5.8</c:v>
                </c:pt>
                <c:pt idx="477">
                  <c:v>6.1</c:v>
                </c:pt>
                <c:pt idx="478">
                  <c:v>5.8</c:v>
                </c:pt>
                <c:pt idx="479">
                  <c:v>5.6</c:v>
                </c:pt>
                <c:pt idx="480">
                  <c:v>5.6</c:v>
                </c:pt>
                <c:pt idx="482">
                  <c:v>3.5</c:v>
                </c:pt>
                <c:pt idx="483">
                  <c:v>3.5</c:v>
                </c:pt>
                <c:pt idx="484">
                  <c:v>3.6</c:v>
                </c:pt>
                <c:pt idx="485">
                  <c:v>3.6</c:v>
                </c:pt>
                <c:pt idx="486">
                  <c:v>3.5</c:v>
                </c:pt>
                <c:pt idx="487">
                  <c:v>3.6</c:v>
                </c:pt>
                <c:pt idx="488">
                  <c:v>3.6</c:v>
                </c:pt>
                <c:pt idx="489">
                  <c:v>3.6</c:v>
                </c:pt>
                <c:pt idx="490">
                  <c:v>3.6</c:v>
                </c:pt>
                <c:pt idx="491">
                  <c:v>3.6</c:v>
                </c:pt>
                <c:pt idx="492">
                  <c:v>3.6</c:v>
                </c:pt>
                <c:pt idx="493">
                  <c:v>3.6</c:v>
                </c:pt>
                <c:pt idx="494">
                  <c:v>3.6</c:v>
                </c:pt>
                <c:pt idx="495">
                  <c:v>3.6</c:v>
                </c:pt>
                <c:pt idx="497">
                  <c:v>6.4</c:v>
                </c:pt>
                <c:pt idx="498">
                  <c:v>6.4</c:v>
                </c:pt>
                <c:pt idx="500">
                  <c:v>5.8</c:v>
                </c:pt>
                <c:pt idx="501">
                  <c:v>6.2</c:v>
                </c:pt>
                <c:pt idx="502">
                  <c:v>6.1</c:v>
                </c:pt>
                <c:pt idx="503">
                  <c:v>0</c:v>
                </c:pt>
                <c:pt idx="504">
                  <c:v>6.1</c:v>
                </c:pt>
                <c:pt idx="505">
                  <c:v>5.5</c:v>
                </c:pt>
                <c:pt idx="508">
                  <c:v>5.7</c:v>
                </c:pt>
                <c:pt idx="509">
                  <c:v>6.8</c:v>
                </c:pt>
                <c:pt idx="510">
                  <c:v>6</c:v>
                </c:pt>
                <c:pt idx="512">
                  <c:v>4.3</c:v>
                </c:pt>
                <c:pt idx="513">
                  <c:v>4.0999999999999996</c:v>
                </c:pt>
                <c:pt idx="514">
                  <c:v>6.3</c:v>
                </c:pt>
                <c:pt idx="515">
                  <c:v>5.0999999999999996</c:v>
                </c:pt>
                <c:pt idx="517">
                  <c:v>6</c:v>
                </c:pt>
                <c:pt idx="518">
                  <c:v>6.4</c:v>
                </c:pt>
                <c:pt idx="519">
                  <c:v>6.1</c:v>
                </c:pt>
                <c:pt idx="521">
                  <c:v>7.3</c:v>
                </c:pt>
                <c:pt idx="522">
                  <c:v>7.3</c:v>
                </c:pt>
                <c:pt idx="523">
                  <c:v>7.1</c:v>
                </c:pt>
                <c:pt idx="524">
                  <c:v>7.1</c:v>
                </c:pt>
                <c:pt idx="526">
                  <c:v>2.2000000000000002</c:v>
                </c:pt>
                <c:pt idx="527">
                  <c:v>2.2000000000000002</c:v>
                </c:pt>
                <c:pt idx="531">
                  <c:v>7.8</c:v>
                </c:pt>
                <c:pt idx="532">
                  <c:v>7.5</c:v>
                </c:pt>
                <c:pt idx="533">
                  <c:v>7.5</c:v>
                </c:pt>
                <c:pt idx="534">
                  <c:v>6.5</c:v>
                </c:pt>
                <c:pt idx="535">
                  <c:v>6.8</c:v>
                </c:pt>
                <c:pt idx="536">
                  <c:v>6.9</c:v>
                </c:pt>
                <c:pt idx="538">
                  <c:v>7</c:v>
                </c:pt>
              </c:numCache>
            </c:numRef>
          </c:yVal>
          <c:smooth val="0"/>
          <c:extLst>
            <c:ext xmlns:c16="http://schemas.microsoft.com/office/drawing/2014/chart" uri="{C3380CC4-5D6E-409C-BE32-E72D297353CC}">
              <c16:uniqueId val="{00000000-0480-43BB-BAF4-0A1DFE06C810}"/>
            </c:ext>
          </c:extLst>
        </c:ser>
        <c:dLbls>
          <c:showLegendKey val="0"/>
          <c:showVal val="0"/>
          <c:showCatName val="0"/>
          <c:showSerName val="0"/>
          <c:showPercent val="0"/>
          <c:showBubbleSize val="0"/>
        </c:dLbls>
        <c:axId val="148053296"/>
        <c:axId val="148056208"/>
      </c:scatterChart>
      <c:valAx>
        <c:axId val="148053296"/>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Field pH</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8056208"/>
        <c:crosses val="autoZero"/>
        <c:crossBetween val="midCat"/>
      </c:valAx>
      <c:valAx>
        <c:axId val="148056208"/>
        <c:scaling>
          <c:orientation val="minMax"/>
          <c:max val="1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Lab pH</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8053296"/>
        <c:crosses val="autoZero"/>
        <c:crossBetween val="midCat"/>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18</xdr:col>
      <xdr:colOff>535305</xdr:colOff>
      <xdr:row>487</xdr:row>
      <xdr:rowOff>91440</xdr:rowOff>
    </xdr:from>
    <xdr:to>
      <xdr:col>26</xdr:col>
      <xdr:colOff>468420</xdr:colOff>
      <xdr:row>502</xdr:row>
      <xdr:rowOff>49742</xdr:rowOff>
    </xdr:to>
    <xdr:graphicFrame macro="">
      <xdr:nvGraphicFramePr>
        <xdr:cNvPr id="2" name="Chart 1">
          <a:extLst>
            <a:ext uri="{FF2B5EF4-FFF2-40B4-BE49-F238E27FC236}">
              <a16:creationId xmlns:a16="http://schemas.microsoft.com/office/drawing/2014/main" id="{200E4015-3662-4B0B-92B7-693409B80E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44</xdr:col>
      <xdr:colOff>0</xdr:colOff>
      <xdr:row>431</xdr:row>
      <xdr:rowOff>0</xdr:rowOff>
    </xdr:from>
    <xdr:to>
      <xdr:col>45</xdr:col>
      <xdr:colOff>0</xdr:colOff>
      <xdr:row>451</xdr:row>
      <xdr:rowOff>135467</xdr:rowOff>
    </xdr:to>
    <xdr:graphicFrame macro="">
      <xdr:nvGraphicFramePr>
        <xdr:cNvPr id="3" name="Chart 2">
          <a:extLst>
            <a:ext uri="{FF2B5EF4-FFF2-40B4-BE49-F238E27FC236}">
              <a16:creationId xmlns:a16="http://schemas.microsoft.com/office/drawing/2014/main" id="{99C70601-4722-4DF7-AE7C-13D29FCE6D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44</xdr:col>
      <xdr:colOff>0</xdr:colOff>
      <xdr:row>453</xdr:row>
      <xdr:rowOff>0</xdr:rowOff>
    </xdr:from>
    <xdr:to>
      <xdr:col>45</xdr:col>
      <xdr:colOff>0</xdr:colOff>
      <xdr:row>476</xdr:row>
      <xdr:rowOff>139277</xdr:rowOff>
    </xdr:to>
    <xdr:graphicFrame macro="">
      <xdr:nvGraphicFramePr>
        <xdr:cNvPr id="4" name="Chart 3">
          <a:extLst>
            <a:ext uri="{FF2B5EF4-FFF2-40B4-BE49-F238E27FC236}">
              <a16:creationId xmlns:a16="http://schemas.microsoft.com/office/drawing/2014/main" id="{707B4F0D-C23A-4B98-88A6-2CC1689C8C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Olivia Weaver" id="{30643E56-298A-4E47-9351-387F4299B620}" userId="76ebac88356a8d16" providerId="Windows Live"/>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J214" dT="2024-06-19T12:40:06.96" personId="{30643E56-298A-4E47-9351-387F4299B620}" id="{D2B5C2D7-42FD-45C3-AA89-91D3D267AF03}">
    <text>V notch weir found at source. 90 degree</text>
  </threadedComment>
  <threadedComment ref="J217" dT="2024-06-19T12:39:34.50" personId="{30643E56-298A-4E47-9351-387F4299B620}" id="{71E80DAD-14C5-47E8-B82B-ACAF43E68906}">
    <text>New weir found 90 degree v-notch. Notch depth is 5in</text>
  </threadedComment>
</ThreadedComments>
</file>

<file path=xl/threadedComments/threadedComment2.xml><?xml version="1.0" encoding="utf-8"?>
<ThreadedComments xmlns="http://schemas.microsoft.com/office/spreadsheetml/2018/threadedcomments" xmlns:x="http://schemas.openxmlformats.org/spreadsheetml/2006/main">
  <threadedComment ref="E68" dT="2024-08-27T12:16:37.02" personId="{30643E56-298A-4E47-9351-387F4299B620}" id="{6CDFCF5E-5922-4F4C-A737-B1789E840FE3}">
    <text>Slightly further upstream than previous location</text>
  </threadedComment>
</ThreadedComment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4" Type="http://schemas.microsoft.com/office/2017/10/relationships/threadedComment" Target="../threadedComments/threadedComment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3E05B-D3AA-4E50-85FE-159C0624D898}">
  <dimension ref="A1:B10"/>
  <sheetViews>
    <sheetView tabSelected="1" workbookViewId="0">
      <selection activeCell="C17" sqref="C17"/>
    </sheetView>
  </sheetViews>
  <sheetFormatPr defaultRowHeight="14.4" x14ac:dyDescent="0.3"/>
  <cols>
    <col min="1" max="1" width="25" customWidth="1"/>
    <col min="2" max="2" width="61.21875" customWidth="1"/>
  </cols>
  <sheetData>
    <row r="1" spans="1:2" x14ac:dyDescent="0.3">
      <c r="A1" s="118" t="s">
        <v>433</v>
      </c>
    </row>
    <row r="3" spans="1:2" x14ac:dyDescent="0.3">
      <c r="A3" s="7" t="s">
        <v>427</v>
      </c>
      <c r="B3" s="7" t="s">
        <v>97</v>
      </c>
    </row>
    <row r="4" spans="1:2" x14ac:dyDescent="0.3">
      <c r="A4" t="s">
        <v>428</v>
      </c>
      <c r="B4" t="s">
        <v>429</v>
      </c>
    </row>
    <row r="5" spans="1:2" x14ac:dyDescent="0.3">
      <c r="A5" t="s">
        <v>534</v>
      </c>
      <c r="B5" t="s">
        <v>535</v>
      </c>
    </row>
    <row r="6" spans="1:2" x14ac:dyDescent="0.3">
      <c r="A6" t="s">
        <v>430</v>
      </c>
      <c r="B6" t="s">
        <v>431</v>
      </c>
    </row>
    <row r="7" spans="1:2" x14ac:dyDescent="0.3">
      <c r="A7" t="s">
        <v>117</v>
      </c>
      <c r="B7" t="s">
        <v>606</v>
      </c>
    </row>
    <row r="8" spans="1:2" x14ac:dyDescent="0.3">
      <c r="A8" t="s">
        <v>141</v>
      </c>
      <c r="B8" t="s">
        <v>605</v>
      </c>
    </row>
    <row r="9" spans="1:2" x14ac:dyDescent="0.3">
      <c r="A9" t="s">
        <v>164</v>
      </c>
      <c r="B9" t="s">
        <v>607</v>
      </c>
    </row>
    <row r="10" spans="1:2" x14ac:dyDescent="0.3">
      <c r="A10" t="s">
        <v>432</v>
      </c>
      <c r="B10" t="s">
        <v>608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E45FE-1150-43CA-BC71-EDACC64AC268}">
  <dimension ref="A1:E69"/>
  <sheetViews>
    <sheetView topLeftCell="A40" workbookViewId="0">
      <selection activeCell="H23" sqref="H23"/>
    </sheetView>
  </sheetViews>
  <sheetFormatPr defaultRowHeight="14.4" x14ac:dyDescent="0.3"/>
  <cols>
    <col min="1" max="1" width="17.5546875" bestFit="1" customWidth="1"/>
    <col min="2" max="2" width="46.109375" bestFit="1" customWidth="1"/>
    <col min="3" max="3" width="9.5546875" bestFit="1" customWidth="1"/>
    <col min="4" max="4" width="10.21875" bestFit="1" customWidth="1"/>
    <col min="5" max="5" width="11.77734375" bestFit="1" customWidth="1"/>
  </cols>
  <sheetData>
    <row r="1" spans="1:5" x14ac:dyDescent="0.3">
      <c r="A1" s="119"/>
      <c r="B1" s="119"/>
      <c r="C1" s="129" t="s">
        <v>156</v>
      </c>
      <c r="D1" s="129"/>
      <c r="E1" s="119"/>
    </row>
    <row r="2" spans="1:5" x14ac:dyDescent="0.3">
      <c r="A2" s="119" t="s">
        <v>2</v>
      </c>
      <c r="B2" s="119" t="s">
        <v>3</v>
      </c>
      <c r="C2" s="120" t="s">
        <v>369</v>
      </c>
      <c r="D2" s="120" t="s">
        <v>116</v>
      </c>
      <c r="E2" s="119" t="s">
        <v>434</v>
      </c>
    </row>
    <row r="3" spans="1:5" x14ac:dyDescent="0.3">
      <c r="A3" s="121" t="s">
        <v>435</v>
      </c>
      <c r="B3" s="121"/>
      <c r="C3" s="121"/>
      <c r="D3" s="121"/>
      <c r="E3" s="121"/>
    </row>
    <row r="4" spans="1:5" x14ac:dyDescent="0.3">
      <c r="A4" s="53" t="s">
        <v>146</v>
      </c>
      <c r="B4" s="53" t="s">
        <v>21</v>
      </c>
      <c r="C4" s="55">
        <v>40.645299999999999</v>
      </c>
      <c r="D4" s="55">
        <v>-79.036760000000001</v>
      </c>
      <c r="E4" s="53" t="s">
        <v>436</v>
      </c>
    </row>
    <row r="5" spans="1:5" x14ac:dyDescent="0.3">
      <c r="A5" s="53" t="s">
        <v>25</v>
      </c>
      <c r="B5" s="53" t="s">
        <v>26</v>
      </c>
      <c r="C5" s="55">
        <v>40.658344</v>
      </c>
      <c r="D5" s="55">
        <v>-79.024439000000001</v>
      </c>
      <c r="E5" s="53" t="s">
        <v>436</v>
      </c>
    </row>
    <row r="6" spans="1:5" x14ac:dyDescent="0.3">
      <c r="A6" s="53" t="s">
        <v>30</v>
      </c>
      <c r="B6" s="53" t="s">
        <v>31</v>
      </c>
      <c r="C6" s="55">
        <v>40.669035000000001</v>
      </c>
      <c r="D6" s="55">
        <v>-79.013497999999998</v>
      </c>
      <c r="E6" s="53" t="s">
        <v>436</v>
      </c>
    </row>
    <row r="7" spans="1:5" x14ac:dyDescent="0.3">
      <c r="A7" s="53" t="s">
        <v>35</v>
      </c>
      <c r="B7" s="53" t="s">
        <v>36</v>
      </c>
      <c r="C7" s="55">
        <v>40.672021999999998</v>
      </c>
      <c r="D7" s="55">
        <v>-79.002600000000001</v>
      </c>
      <c r="E7" s="53" t="s">
        <v>436</v>
      </c>
    </row>
    <row r="8" spans="1:5" x14ac:dyDescent="0.3">
      <c r="A8" s="53" t="s">
        <v>41</v>
      </c>
      <c r="B8" s="53" t="s">
        <v>42</v>
      </c>
      <c r="C8" s="55">
        <v>40.657780000000002</v>
      </c>
      <c r="D8" s="55">
        <v>-78.975070000000002</v>
      </c>
      <c r="E8" s="53" t="s">
        <v>436</v>
      </c>
    </row>
    <row r="9" spans="1:5" x14ac:dyDescent="0.3">
      <c r="A9" s="53" t="s">
        <v>44</v>
      </c>
      <c r="B9" s="53" t="s">
        <v>45</v>
      </c>
      <c r="C9" s="55">
        <v>40.66272</v>
      </c>
      <c r="D9" s="55">
        <v>-78.968819999999994</v>
      </c>
      <c r="E9" s="53" t="s">
        <v>436</v>
      </c>
    </row>
    <row r="10" spans="1:5" x14ac:dyDescent="0.3">
      <c r="A10" s="53" t="s">
        <v>49</v>
      </c>
      <c r="B10" s="53" t="s">
        <v>602</v>
      </c>
      <c r="C10" s="55">
        <v>40.67557</v>
      </c>
      <c r="D10" s="55">
        <v>-78.963009999999997</v>
      </c>
      <c r="E10" s="53" t="s">
        <v>436</v>
      </c>
    </row>
    <row r="11" spans="1:5" x14ac:dyDescent="0.3">
      <c r="A11" s="53" t="s">
        <v>51</v>
      </c>
      <c r="B11" s="53" t="s">
        <v>381</v>
      </c>
      <c r="C11" s="55">
        <v>40.69773</v>
      </c>
      <c r="D11" s="55">
        <v>-78.958299999999994</v>
      </c>
      <c r="E11" s="53" t="s">
        <v>436</v>
      </c>
    </row>
    <row r="12" spans="1:5" x14ac:dyDescent="0.3">
      <c r="A12" s="53" t="s">
        <v>56</v>
      </c>
      <c r="B12" s="53" t="s">
        <v>57</v>
      </c>
      <c r="C12" s="55">
        <v>40.707120000000003</v>
      </c>
      <c r="D12" s="55">
        <v>-78.955690000000004</v>
      </c>
      <c r="E12" s="53" t="s">
        <v>436</v>
      </c>
    </row>
    <row r="13" spans="1:5" x14ac:dyDescent="0.3">
      <c r="A13" s="53" t="s">
        <v>61</v>
      </c>
      <c r="B13" s="53" t="s">
        <v>62</v>
      </c>
      <c r="C13" s="55">
        <v>40.71125</v>
      </c>
      <c r="D13" s="55">
        <v>-78.943830000000005</v>
      </c>
      <c r="E13" s="53" t="s">
        <v>436</v>
      </c>
    </row>
    <row r="14" spans="1:5" x14ac:dyDescent="0.3">
      <c r="A14" s="53" t="s">
        <v>64</v>
      </c>
      <c r="B14" s="53" t="s">
        <v>113</v>
      </c>
      <c r="C14" s="55">
        <v>40.714730000000003</v>
      </c>
      <c r="D14" s="55">
        <v>-78.924419999999998</v>
      </c>
      <c r="E14" s="53" t="s">
        <v>436</v>
      </c>
    </row>
    <row r="15" spans="1:5" x14ac:dyDescent="0.3">
      <c r="A15" s="121" t="s">
        <v>437</v>
      </c>
      <c r="B15" s="121"/>
      <c r="C15" s="121"/>
      <c r="D15" s="121"/>
      <c r="E15" s="121"/>
    </row>
    <row r="16" spans="1:5" x14ac:dyDescent="0.3">
      <c r="A16" s="53" t="s">
        <v>149</v>
      </c>
      <c r="B16" s="53" t="s">
        <v>438</v>
      </c>
      <c r="C16" s="55">
        <v>40.672997000000002</v>
      </c>
      <c r="D16" s="55">
        <v>-79.002888999999996</v>
      </c>
      <c r="E16" s="53" t="s">
        <v>439</v>
      </c>
    </row>
    <row r="17" spans="1:5" x14ac:dyDescent="0.3">
      <c r="A17" s="53" t="s">
        <v>47</v>
      </c>
      <c r="B17" s="53" t="s">
        <v>603</v>
      </c>
      <c r="C17" s="55">
        <v>40.674660000000003</v>
      </c>
      <c r="D17" s="55">
        <v>-78.962230000000005</v>
      </c>
      <c r="E17" s="53" t="s">
        <v>439</v>
      </c>
    </row>
    <row r="18" spans="1:5" x14ac:dyDescent="0.3">
      <c r="A18" s="53" t="s">
        <v>71</v>
      </c>
      <c r="B18" s="53" t="s">
        <v>440</v>
      </c>
      <c r="C18" s="55">
        <v>40.665210000000002</v>
      </c>
      <c r="D18" s="55">
        <v>-78.972009999999997</v>
      </c>
      <c r="E18" s="53" t="s">
        <v>441</v>
      </c>
    </row>
    <row r="19" spans="1:5" x14ac:dyDescent="0.3">
      <c r="A19" s="53" t="s">
        <v>53</v>
      </c>
      <c r="B19" s="53" t="s">
        <v>54</v>
      </c>
      <c r="C19" s="55">
        <v>40.707320000000003</v>
      </c>
      <c r="D19" s="55">
        <v>-78.957380000000001</v>
      </c>
      <c r="E19" s="53" t="s">
        <v>439</v>
      </c>
    </row>
    <row r="20" spans="1:5" x14ac:dyDescent="0.3">
      <c r="A20" s="53" t="s">
        <v>59</v>
      </c>
      <c r="B20" s="53" t="s">
        <v>54</v>
      </c>
      <c r="C20" s="55">
        <v>40.711689999999997</v>
      </c>
      <c r="D20" s="55">
        <v>-78.944609999999997</v>
      </c>
      <c r="E20" s="53" t="s">
        <v>439</v>
      </c>
    </row>
    <row r="21" spans="1:5" x14ac:dyDescent="0.3">
      <c r="A21" s="53" t="s">
        <v>66</v>
      </c>
      <c r="B21" s="53" t="s">
        <v>54</v>
      </c>
      <c r="C21" s="55">
        <v>40.672350000000002</v>
      </c>
      <c r="D21" s="55">
        <v>-78.992339999999999</v>
      </c>
      <c r="E21" s="53" t="s">
        <v>439</v>
      </c>
    </row>
    <row r="22" spans="1:5" x14ac:dyDescent="0.3">
      <c r="A22" s="53" t="s">
        <v>68</v>
      </c>
      <c r="B22" s="53" t="s">
        <v>69</v>
      </c>
      <c r="C22" s="55">
        <v>40.664969999999997</v>
      </c>
      <c r="D22" s="55">
        <v>-78.980220000000003</v>
      </c>
      <c r="E22" s="53" t="s">
        <v>441</v>
      </c>
    </row>
    <row r="23" spans="1:5" x14ac:dyDescent="0.3">
      <c r="A23" s="53" t="s">
        <v>244</v>
      </c>
      <c r="B23" s="53" t="s">
        <v>382</v>
      </c>
      <c r="C23" s="55">
        <v>40.663159999999998</v>
      </c>
      <c r="D23" s="55">
        <v>-78.978719999999996</v>
      </c>
      <c r="E23" s="53" t="s">
        <v>442</v>
      </c>
    </row>
    <row r="24" spans="1:5" x14ac:dyDescent="0.3">
      <c r="A24" s="53" t="s">
        <v>331</v>
      </c>
      <c r="B24" s="53" t="s">
        <v>383</v>
      </c>
      <c r="C24" s="55">
        <v>40.668590000000002</v>
      </c>
      <c r="D24" s="55">
        <v>-78.990710000000007</v>
      </c>
      <c r="E24" s="53" t="s">
        <v>441</v>
      </c>
    </row>
    <row r="25" spans="1:5" x14ac:dyDescent="0.3">
      <c r="A25" s="53" t="s">
        <v>355</v>
      </c>
      <c r="B25" s="53" t="s">
        <v>384</v>
      </c>
      <c r="C25" s="55">
        <v>40.671190000000003</v>
      </c>
      <c r="D25" s="55">
        <v>-78.995429999999999</v>
      </c>
      <c r="E25" s="53" t="s">
        <v>441</v>
      </c>
    </row>
    <row r="26" spans="1:5" x14ac:dyDescent="0.3">
      <c r="A26" s="53" t="s">
        <v>357</v>
      </c>
      <c r="B26" s="53" t="s">
        <v>385</v>
      </c>
      <c r="C26" s="55">
        <v>40.671190000000003</v>
      </c>
      <c r="D26" s="55">
        <v>-78.995429999999999</v>
      </c>
      <c r="E26" s="53" t="s">
        <v>441</v>
      </c>
    </row>
    <row r="27" spans="1:5" x14ac:dyDescent="0.3">
      <c r="A27" s="53" t="s">
        <v>386</v>
      </c>
      <c r="B27" s="53" t="s">
        <v>443</v>
      </c>
      <c r="C27" s="55">
        <v>40.663319999999999</v>
      </c>
      <c r="D27" s="55">
        <v>-78.978949</v>
      </c>
      <c r="E27" s="122" t="s">
        <v>441</v>
      </c>
    </row>
    <row r="28" spans="1:5" x14ac:dyDescent="0.3">
      <c r="A28" s="53" t="s">
        <v>74</v>
      </c>
      <c r="B28" s="53" t="s">
        <v>54</v>
      </c>
      <c r="C28" s="55">
        <v>40.684370000000001</v>
      </c>
      <c r="D28" s="55">
        <v>-78.963509999999999</v>
      </c>
      <c r="E28" s="53" t="s">
        <v>439</v>
      </c>
    </row>
    <row r="29" spans="1:5" x14ac:dyDescent="0.3">
      <c r="A29" s="53" t="s">
        <v>76</v>
      </c>
      <c r="B29" s="53" t="s">
        <v>54</v>
      </c>
      <c r="C29" s="55">
        <v>40.686079999999997</v>
      </c>
      <c r="D29" s="55">
        <v>-78.965350000000001</v>
      </c>
      <c r="E29" s="53" t="s">
        <v>439</v>
      </c>
    </row>
    <row r="30" spans="1:5" x14ac:dyDescent="0.3">
      <c r="A30" s="53" t="s">
        <v>78</v>
      </c>
      <c r="B30" s="53" t="s">
        <v>54</v>
      </c>
      <c r="C30" s="55">
        <v>40.696370000000002</v>
      </c>
      <c r="D30" s="55">
        <v>-78.960629999999995</v>
      </c>
      <c r="E30" s="53" t="s">
        <v>439</v>
      </c>
    </row>
    <row r="31" spans="1:5" x14ac:dyDescent="0.3">
      <c r="A31" s="53" t="s">
        <v>80</v>
      </c>
      <c r="B31" s="53" t="s">
        <v>444</v>
      </c>
      <c r="C31" s="55">
        <v>40.699280000000002</v>
      </c>
      <c r="D31" s="55">
        <v>-78.95729</v>
      </c>
      <c r="E31" s="53" t="s">
        <v>439</v>
      </c>
    </row>
    <row r="32" spans="1:5" x14ac:dyDescent="0.3">
      <c r="A32" s="53" t="s">
        <v>83</v>
      </c>
      <c r="B32" s="53" t="s">
        <v>54</v>
      </c>
      <c r="C32" s="55">
        <v>40.712139999999998</v>
      </c>
      <c r="D32" s="55">
        <v>-78.939980000000006</v>
      </c>
      <c r="E32" s="53" t="s">
        <v>439</v>
      </c>
    </row>
    <row r="33" spans="1:5" x14ac:dyDescent="0.3">
      <c r="A33" s="53" t="s">
        <v>38</v>
      </c>
      <c r="B33" s="53" t="s">
        <v>54</v>
      </c>
      <c r="C33" s="55">
        <v>40.709769999999999</v>
      </c>
      <c r="D33" s="55">
        <v>-78.92971</v>
      </c>
      <c r="E33" s="53" t="s">
        <v>439</v>
      </c>
    </row>
    <row r="34" spans="1:5" x14ac:dyDescent="0.3">
      <c r="A34" s="123" t="s">
        <v>164</v>
      </c>
      <c r="B34" s="124"/>
      <c r="C34" s="125"/>
      <c r="D34" s="125"/>
      <c r="E34" s="124"/>
    </row>
    <row r="35" spans="1:5" x14ac:dyDescent="0.3">
      <c r="A35" s="53" t="s">
        <v>145</v>
      </c>
      <c r="B35" s="53" t="s">
        <v>19</v>
      </c>
      <c r="C35" s="55">
        <v>40.637540000000001</v>
      </c>
      <c r="D35" s="55">
        <v>-79.03631</v>
      </c>
      <c r="E35" s="53" t="s">
        <v>439</v>
      </c>
    </row>
    <row r="36" spans="1:5" x14ac:dyDescent="0.3">
      <c r="A36" s="53" t="s">
        <v>257</v>
      </c>
      <c r="B36" s="53" t="s">
        <v>387</v>
      </c>
      <c r="C36" s="55">
        <v>40.636420000000001</v>
      </c>
      <c r="D36" s="55">
        <v>-79.031649999999999</v>
      </c>
      <c r="E36" s="53" t="s">
        <v>439</v>
      </c>
    </row>
    <row r="37" spans="1:5" x14ac:dyDescent="0.3">
      <c r="A37" s="53" t="s">
        <v>445</v>
      </c>
      <c r="B37" s="53" t="s">
        <v>446</v>
      </c>
      <c r="C37" s="55">
        <v>40.637988</v>
      </c>
      <c r="D37" s="55">
        <v>-79.025632000000002</v>
      </c>
      <c r="E37" s="53" t="s">
        <v>439</v>
      </c>
    </row>
    <row r="38" spans="1:5" x14ac:dyDescent="0.3">
      <c r="A38" s="53" t="s">
        <v>207</v>
      </c>
      <c r="B38" s="53" t="s">
        <v>387</v>
      </c>
      <c r="C38" s="55">
        <v>40.639139999999998</v>
      </c>
      <c r="D38" s="55">
        <v>-79.018109999999993</v>
      </c>
      <c r="E38" s="53" t="s">
        <v>439</v>
      </c>
    </row>
    <row r="39" spans="1:5" x14ac:dyDescent="0.3">
      <c r="A39" s="53" t="s">
        <v>388</v>
      </c>
      <c r="B39" s="53" t="s">
        <v>346</v>
      </c>
      <c r="C39" s="55">
        <v>40.635556000000001</v>
      </c>
      <c r="D39" s="55">
        <v>-79.012578000000005</v>
      </c>
      <c r="E39" s="53" t="s">
        <v>439</v>
      </c>
    </row>
    <row r="40" spans="1:5" x14ac:dyDescent="0.3">
      <c r="A40" s="53" t="s">
        <v>206</v>
      </c>
      <c r="B40" s="53" t="s">
        <v>387</v>
      </c>
      <c r="C40" s="55">
        <v>40.63382</v>
      </c>
      <c r="D40" s="55">
        <v>-79.013580000000005</v>
      </c>
      <c r="E40" s="53" t="s">
        <v>439</v>
      </c>
    </row>
    <row r="41" spans="1:5" x14ac:dyDescent="0.3">
      <c r="A41" s="53" t="s">
        <v>205</v>
      </c>
      <c r="B41" s="53" t="s">
        <v>387</v>
      </c>
      <c r="C41" s="55">
        <v>40.63926</v>
      </c>
      <c r="D41" s="55">
        <v>-79.009150000000005</v>
      </c>
      <c r="E41" s="53" t="s">
        <v>439</v>
      </c>
    </row>
    <row r="42" spans="1:5" x14ac:dyDescent="0.3">
      <c r="A42" s="53" t="s">
        <v>389</v>
      </c>
      <c r="B42" s="53" t="s">
        <v>390</v>
      </c>
      <c r="C42" s="55">
        <v>40.638719999999999</v>
      </c>
      <c r="D42" s="55">
        <v>-79.007310000000004</v>
      </c>
      <c r="E42" s="53" t="s">
        <v>439</v>
      </c>
    </row>
    <row r="43" spans="1:5" x14ac:dyDescent="0.3">
      <c r="A43" s="53" t="s">
        <v>204</v>
      </c>
      <c r="B43" s="53" t="s">
        <v>391</v>
      </c>
      <c r="C43" s="55">
        <v>40.637990000000002</v>
      </c>
      <c r="D43" s="55">
        <v>-79.004649999999998</v>
      </c>
      <c r="E43" s="53" t="s">
        <v>439</v>
      </c>
    </row>
    <row r="44" spans="1:5" x14ac:dyDescent="0.3">
      <c r="A44" s="53" t="s">
        <v>304</v>
      </c>
      <c r="B44" s="53" t="s">
        <v>392</v>
      </c>
      <c r="C44" s="55">
        <v>40.638750000000002</v>
      </c>
      <c r="D44" s="55">
        <v>-79.007080000000002</v>
      </c>
      <c r="E44" s="53" t="s">
        <v>441</v>
      </c>
    </row>
    <row r="45" spans="1:5" x14ac:dyDescent="0.3">
      <c r="A45" s="53" t="s">
        <v>285</v>
      </c>
      <c r="B45" s="53" t="s">
        <v>393</v>
      </c>
      <c r="C45" s="55">
        <v>40.638759999999998</v>
      </c>
      <c r="D45" s="55">
        <v>-79.007480000000001</v>
      </c>
      <c r="E45" s="53" t="s">
        <v>441</v>
      </c>
    </row>
    <row r="46" spans="1:5" x14ac:dyDescent="0.3">
      <c r="A46" s="53" t="s">
        <v>286</v>
      </c>
      <c r="B46" s="53" t="s">
        <v>394</v>
      </c>
      <c r="C46" s="55">
        <v>40.638820000000003</v>
      </c>
      <c r="D46" s="55">
        <v>-79.007739999999998</v>
      </c>
      <c r="E46" s="53" t="s">
        <v>441</v>
      </c>
    </row>
    <row r="47" spans="1:5" x14ac:dyDescent="0.3">
      <c r="A47" s="53" t="s">
        <v>289</v>
      </c>
      <c r="B47" s="53" t="s">
        <v>395</v>
      </c>
      <c r="C47" s="55">
        <v>40.638860000000001</v>
      </c>
      <c r="D47" s="55">
        <v>-79.007909999999995</v>
      </c>
      <c r="E47" s="53" t="s">
        <v>441</v>
      </c>
    </row>
    <row r="48" spans="1:5" x14ac:dyDescent="0.3">
      <c r="A48" s="53" t="s">
        <v>291</v>
      </c>
      <c r="B48" s="53" t="s">
        <v>396</v>
      </c>
      <c r="C48" s="55">
        <v>40.638730000000002</v>
      </c>
      <c r="D48" s="55">
        <v>-79.007990000000007</v>
      </c>
      <c r="E48" s="53" t="s">
        <v>441</v>
      </c>
    </row>
    <row r="49" spans="1:5" x14ac:dyDescent="0.3">
      <c r="A49" s="53" t="s">
        <v>367</v>
      </c>
      <c r="B49" s="53" t="s">
        <v>397</v>
      </c>
      <c r="C49" s="55">
        <v>40.636710000000001</v>
      </c>
      <c r="D49" s="55">
        <v>-79.011150000000001</v>
      </c>
      <c r="E49" s="53" t="s">
        <v>441</v>
      </c>
    </row>
    <row r="50" spans="1:5" x14ac:dyDescent="0.3">
      <c r="A50" s="53" t="s">
        <v>306</v>
      </c>
      <c r="B50" s="53" t="s">
        <v>307</v>
      </c>
      <c r="C50" s="55">
        <v>40.638890000000004</v>
      </c>
      <c r="D50" s="55">
        <v>-79.008970000000005</v>
      </c>
      <c r="E50" s="53" t="s">
        <v>439</v>
      </c>
    </row>
    <row r="51" spans="1:5" x14ac:dyDescent="0.3">
      <c r="A51" s="53" t="s">
        <v>398</v>
      </c>
      <c r="B51" s="53" t="s">
        <v>399</v>
      </c>
      <c r="C51" s="55">
        <v>40.625869999999999</v>
      </c>
      <c r="D51" s="55">
        <v>-79.005560000000003</v>
      </c>
      <c r="E51" s="53" t="s">
        <v>439</v>
      </c>
    </row>
    <row r="52" spans="1:5" x14ac:dyDescent="0.3">
      <c r="A52" s="53" t="s">
        <v>347</v>
      </c>
      <c r="B52" s="53" t="s">
        <v>447</v>
      </c>
      <c r="C52" s="55">
        <v>40.635317000000001</v>
      </c>
      <c r="D52" s="55">
        <v>-79.012320000000003</v>
      </c>
      <c r="E52" s="53" t="s">
        <v>441</v>
      </c>
    </row>
    <row r="53" spans="1:5" x14ac:dyDescent="0.3">
      <c r="A53" s="53" t="s">
        <v>407</v>
      </c>
      <c r="B53" s="53" t="s">
        <v>448</v>
      </c>
      <c r="C53" s="55">
        <v>40.636882999999997</v>
      </c>
      <c r="D53" s="55">
        <v>-79.018167000000005</v>
      </c>
      <c r="E53" s="53" t="s">
        <v>441</v>
      </c>
    </row>
    <row r="54" spans="1:5" x14ac:dyDescent="0.3">
      <c r="A54" s="53" t="s">
        <v>408</v>
      </c>
      <c r="B54" s="74" t="s">
        <v>449</v>
      </c>
      <c r="C54" s="55">
        <v>40.635615999999999</v>
      </c>
      <c r="D54" s="55">
        <v>-79.014835000000005</v>
      </c>
      <c r="E54" s="53" t="s">
        <v>441</v>
      </c>
    </row>
    <row r="55" spans="1:5" x14ac:dyDescent="0.3">
      <c r="A55" s="53" t="s">
        <v>409</v>
      </c>
      <c r="B55" s="74" t="s">
        <v>450</v>
      </c>
      <c r="C55">
        <v>40.635024000000001</v>
      </c>
      <c r="D55">
        <v>-79.013869999999997</v>
      </c>
      <c r="E55" s="53" t="s">
        <v>441</v>
      </c>
    </row>
    <row r="56" spans="1:5" x14ac:dyDescent="0.3">
      <c r="A56" s="121" t="s">
        <v>141</v>
      </c>
      <c r="B56" s="121"/>
      <c r="C56" s="121"/>
      <c r="D56" s="121"/>
      <c r="E56" s="121"/>
    </row>
    <row r="57" spans="1:5" x14ac:dyDescent="0.3">
      <c r="A57" s="53" t="s">
        <v>147</v>
      </c>
      <c r="B57" s="53" t="s">
        <v>23</v>
      </c>
      <c r="C57" s="55">
        <v>40.660511</v>
      </c>
      <c r="D57" s="55">
        <v>-79.035275999999996</v>
      </c>
      <c r="E57" s="53" t="s">
        <v>439</v>
      </c>
    </row>
    <row r="58" spans="1:5" x14ac:dyDescent="0.3">
      <c r="A58" s="53" t="s">
        <v>400</v>
      </c>
      <c r="B58" s="53" t="s">
        <v>451</v>
      </c>
      <c r="C58" s="55">
        <v>40.661630000000002</v>
      </c>
      <c r="D58" s="55">
        <v>-79.036299999999997</v>
      </c>
      <c r="E58" s="53" t="s">
        <v>439</v>
      </c>
    </row>
    <row r="59" spans="1:5" x14ac:dyDescent="0.3">
      <c r="A59" s="53" t="s">
        <v>225</v>
      </c>
      <c r="B59" s="53" t="s">
        <v>401</v>
      </c>
      <c r="C59" s="55">
        <v>40.661709999999999</v>
      </c>
      <c r="D59" s="55">
        <v>-79.036529999999999</v>
      </c>
      <c r="E59" s="53" t="s">
        <v>439</v>
      </c>
    </row>
    <row r="60" spans="1:5" x14ac:dyDescent="0.3">
      <c r="A60" s="53" t="s">
        <v>402</v>
      </c>
      <c r="B60" s="53" t="s">
        <v>452</v>
      </c>
      <c r="C60" s="55">
        <v>40.6614</v>
      </c>
      <c r="D60" s="55">
        <v>-79.036569999999998</v>
      </c>
      <c r="E60" s="53" t="s">
        <v>439</v>
      </c>
    </row>
    <row r="61" spans="1:5" x14ac:dyDescent="0.3">
      <c r="A61" s="121" t="s">
        <v>117</v>
      </c>
      <c r="B61" s="121"/>
      <c r="C61" s="121"/>
      <c r="D61" s="121"/>
      <c r="E61" s="121"/>
    </row>
    <row r="62" spans="1:5" x14ac:dyDescent="0.3">
      <c r="A62" s="53" t="s">
        <v>148</v>
      </c>
      <c r="B62" s="53" t="s">
        <v>28</v>
      </c>
      <c r="C62" s="55">
        <v>40.670039000000003</v>
      </c>
      <c r="D62" s="55">
        <v>-79.015269000000004</v>
      </c>
      <c r="E62" s="53" t="s">
        <v>439</v>
      </c>
    </row>
    <row r="63" spans="1:5" x14ac:dyDescent="0.3">
      <c r="A63" s="53" t="s">
        <v>109</v>
      </c>
      <c r="B63" s="53" t="s">
        <v>39</v>
      </c>
      <c r="C63" s="55">
        <v>40.717700000000001</v>
      </c>
      <c r="D63" s="55">
        <v>-79.006320000000002</v>
      </c>
      <c r="E63" s="53" t="s">
        <v>439</v>
      </c>
    </row>
    <row r="64" spans="1:5" x14ac:dyDescent="0.3">
      <c r="A64" s="53" t="s">
        <v>414</v>
      </c>
      <c r="B64" s="53" t="s">
        <v>403</v>
      </c>
      <c r="C64" s="55">
        <v>40.704991</v>
      </c>
      <c r="D64" s="55">
        <v>-79.007757999999995</v>
      </c>
      <c r="E64" s="53" t="s">
        <v>439</v>
      </c>
    </row>
    <row r="65" spans="1:5" x14ac:dyDescent="0.3">
      <c r="A65" s="53" t="s">
        <v>412</v>
      </c>
      <c r="B65" s="53" t="s">
        <v>404</v>
      </c>
      <c r="C65" s="55">
        <v>40.679369999999999</v>
      </c>
      <c r="D65" s="55">
        <v>-79.013949999999994</v>
      </c>
      <c r="E65" s="53" t="s">
        <v>441</v>
      </c>
    </row>
    <row r="66" spans="1:5" x14ac:dyDescent="0.3">
      <c r="A66" s="53" t="s">
        <v>296</v>
      </c>
      <c r="B66" s="53" t="s">
        <v>405</v>
      </c>
      <c r="C66" s="55">
        <v>40.683199999999999</v>
      </c>
      <c r="D66" s="55">
        <v>-79.013040000000004</v>
      </c>
      <c r="E66" s="53" t="s">
        <v>441</v>
      </c>
    </row>
    <row r="67" spans="1:5" x14ac:dyDescent="0.3">
      <c r="A67" s="53" t="s">
        <v>413</v>
      </c>
      <c r="B67" s="53" t="s">
        <v>406</v>
      </c>
      <c r="C67" s="55">
        <v>40.688879999999997</v>
      </c>
      <c r="D67" s="55">
        <v>-79.009640000000005</v>
      </c>
      <c r="E67" s="53" t="s">
        <v>439</v>
      </c>
    </row>
    <row r="68" spans="1:5" x14ac:dyDescent="0.3">
      <c r="A68" s="53" t="s">
        <v>281</v>
      </c>
      <c r="B68" s="53" t="s">
        <v>453</v>
      </c>
      <c r="C68" s="55">
        <v>40.709739999999996</v>
      </c>
      <c r="D68" s="55">
        <v>-79.009200000000007</v>
      </c>
      <c r="E68" s="53" t="s">
        <v>439</v>
      </c>
    </row>
    <row r="69" spans="1:5" x14ac:dyDescent="0.3">
      <c r="A69" s="53" t="s">
        <v>410</v>
      </c>
      <c r="B69" s="53" t="s">
        <v>454</v>
      </c>
      <c r="C69" s="11">
        <v>40.708004000000003</v>
      </c>
      <c r="D69" s="11">
        <v>-79.008315999999994</v>
      </c>
      <c r="E69" s="53" t="s">
        <v>441</v>
      </c>
    </row>
  </sheetData>
  <mergeCells count="1">
    <mergeCell ref="C1:D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ED7EB-A374-4E18-B543-D7BEB6333E0E}">
  <dimension ref="A1:DR48"/>
  <sheetViews>
    <sheetView workbookViewId="0">
      <pane xSplit="2" ySplit="2" topLeftCell="C3" activePane="bottomRight" state="frozen"/>
      <selection pane="topRight" activeCell="C1" sqref="C1"/>
      <selection pane="bottomLeft" activeCell="A2" sqref="A2"/>
      <selection pane="bottomRight"/>
    </sheetView>
  </sheetViews>
  <sheetFormatPr defaultRowHeight="14.4" x14ac:dyDescent="0.3"/>
  <cols>
    <col min="1" max="1" width="17.5546875" bestFit="1" customWidth="1"/>
    <col min="2" max="2" width="43.109375" bestFit="1" customWidth="1"/>
    <col min="3" max="3" width="9.5546875" bestFit="1" customWidth="1"/>
    <col min="4" max="4" width="10.21875" bestFit="1" customWidth="1"/>
    <col min="5" max="5" width="7" style="53" bestFit="1" customWidth="1"/>
    <col min="6" max="6" width="10.88671875" style="55" bestFit="1" customWidth="1"/>
    <col min="7" max="7" width="14.109375" bestFit="1" customWidth="1"/>
    <col min="8" max="8" width="6" bestFit="1" customWidth="1"/>
    <col min="9" max="9" width="25.5546875" bestFit="1" customWidth="1"/>
    <col min="10" max="10" width="19.33203125" bestFit="1" customWidth="1"/>
    <col min="11" max="11" width="15.21875" bestFit="1" customWidth="1"/>
    <col min="12" max="12" width="16.88671875" bestFit="1" customWidth="1"/>
    <col min="13" max="13" width="6" bestFit="1" customWidth="1"/>
    <col min="14" max="14" width="10.6640625" bestFit="1" customWidth="1"/>
    <col min="15" max="15" width="9.21875" bestFit="1" customWidth="1"/>
    <col min="16" max="16" width="8.21875" bestFit="1" customWidth="1"/>
    <col min="17" max="17" width="8.77734375" bestFit="1" customWidth="1"/>
    <col min="18" max="18" width="7" bestFit="1" customWidth="1"/>
    <col min="19" max="19" width="7.5546875" bestFit="1" customWidth="1"/>
    <col min="20" max="20" width="11.88671875" bestFit="1" customWidth="1"/>
  </cols>
  <sheetData>
    <row r="1" spans="1:122" x14ac:dyDescent="0.3">
      <c r="A1" t="s">
        <v>601</v>
      </c>
    </row>
    <row r="2" spans="1:122" x14ac:dyDescent="0.3">
      <c r="A2" s="119" t="s">
        <v>2</v>
      </c>
      <c r="B2" s="119" t="s">
        <v>3</v>
      </c>
      <c r="C2" s="120" t="s">
        <v>369</v>
      </c>
      <c r="D2" s="120" t="s">
        <v>116</v>
      </c>
      <c r="E2" s="119" t="s">
        <v>455</v>
      </c>
      <c r="F2" s="120" t="s">
        <v>456</v>
      </c>
      <c r="G2" s="120" t="s">
        <v>457</v>
      </c>
      <c r="H2" s="120" t="s">
        <v>2</v>
      </c>
      <c r="I2" s="120" t="s">
        <v>458</v>
      </c>
      <c r="J2" s="120" t="s">
        <v>459</v>
      </c>
      <c r="K2" s="120" t="s">
        <v>460</v>
      </c>
      <c r="L2" s="120" t="s">
        <v>461</v>
      </c>
      <c r="M2" s="120" t="s">
        <v>462</v>
      </c>
      <c r="N2" s="120" t="s">
        <v>463</v>
      </c>
      <c r="O2" s="120" t="s">
        <v>464</v>
      </c>
      <c r="P2" s="120" t="s">
        <v>465</v>
      </c>
      <c r="Q2" s="120" t="s">
        <v>466</v>
      </c>
      <c r="R2" s="120" t="s">
        <v>467</v>
      </c>
      <c r="S2" s="120" t="s">
        <v>468</v>
      </c>
      <c r="T2" s="120" t="s">
        <v>469</v>
      </c>
    </row>
    <row r="3" spans="1:122" s="53" customFormat="1" x14ac:dyDescent="0.3">
      <c r="A3" s="53" t="s">
        <v>71</v>
      </c>
      <c r="B3" s="53" t="s">
        <v>440</v>
      </c>
      <c r="C3" s="55">
        <v>40.665210000000002</v>
      </c>
      <c r="D3" s="55">
        <v>-78.972009999999997</v>
      </c>
      <c r="E3" s="4">
        <v>66.510000000000005</v>
      </c>
      <c r="F3" s="91">
        <v>107</v>
      </c>
      <c r="G3" s="91" t="s">
        <v>470</v>
      </c>
      <c r="H3" s="91">
        <v>13801</v>
      </c>
      <c r="I3" t="s">
        <v>471</v>
      </c>
      <c r="J3" t="s">
        <v>472</v>
      </c>
      <c r="K3" t="s">
        <v>473</v>
      </c>
      <c r="L3" t="s">
        <v>474</v>
      </c>
      <c r="M3" t="s">
        <v>475</v>
      </c>
      <c r="N3" t="s">
        <v>476</v>
      </c>
      <c r="O3" t="s">
        <v>477</v>
      </c>
      <c r="P3" t="s">
        <v>478</v>
      </c>
      <c r="Q3" t="s">
        <v>479</v>
      </c>
      <c r="R3" t="s">
        <v>480</v>
      </c>
      <c r="S3" t="s">
        <v>481</v>
      </c>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row>
    <row r="4" spans="1:122" s="53" customFormat="1" x14ac:dyDescent="0.3">
      <c r="A4" s="53" t="s">
        <v>68</v>
      </c>
      <c r="B4" s="53" t="s">
        <v>69</v>
      </c>
      <c r="C4" s="55">
        <v>40.664969999999997</v>
      </c>
      <c r="D4" s="55">
        <v>-78.980220000000003</v>
      </c>
      <c r="E4" s="4">
        <v>39</v>
      </c>
      <c r="F4" s="91">
        <v>120.01</v>
      </c>
      <c r="G4" s="91" t="s">
        <v>482</v>
      </c>
      <c r="H4" s="91">
        <v>14161</v>
      </c>
      <c r="I4" t="s">
        <v>483</v>
      </c>
      <c r="J4" t="s">
        <v>484</v>
      </c>
      <c r="K4" t="s">
        <v>485</v>
      </c>
      <c r="L4" t="s">
        <v>484</v>
      </c>
      <c r="M4" t="s">
        <v>475</v>
      </c>
      <c r="N4" t="s">
        <v>486</v>
      </c>
      <c r="O4" t="s">
        <v>477</v>
      </c>
      <c r="P4" t="s">
        <v>487</v>
      </c>
      <c r="Q4" t="s">
        <v>488</v>
      </c>
      <c r="R4" t="s">
        <v>489</v>
      </c>
      <c r="S4" t="s">
        <v>490</v>
      </c>
      <c r="T4" t="s">
        <v>491</v>
      </c>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row>
    <row r="5" spans="1:122" s="53" customFormat="1" x14ac:dyDescent="0.3">
      <c r="A5" s="53" t="s">
        <v>244</v>
      </c>
      <c r="B5" s="53" t="s">
        <v>382</v>
      </c>
      <c r="C5" s="55">
        <v>40.663159999999998</v>
      </c>
      <c r="D5" s="55">
        <v>-78.978719999999996</v>
      </c>
      <c r="E5" s="4">
        <v>21.43</v>
      </c>
      <c r="F5" s="91" t="s">
        <v>492</v>
      </c>
      <c r="G5" s="91" t="s">
        <v>493</v>
      </c>
      <c r="H5" s="91">
        <v>13814</v>
      </c>
      <c r="I5" t="s">
        <v>494</v>
      </c>
      <c r="J5" t="s">
        <v>495</v>
      </c>
      <c r="K5" t="s">
        <v>496</v>
      </c>
      <c r="L5"/>
      <c r="M5" t="s">
        <v>475</v>
      </c>
      <c r="N5" t="s">
        <v>497</v>
      </c>
      <c r="O5" t="s">
        <v>477</v>
      </c>
      <c r="P5" t="s">
        <v>478</v>
      </c>
      <c r="Q5" t="s">
        <v>479</v>
      </c>
      <c r="R5" t="s">
        <v>480</v>
      </c>
      <c r="S5" t="s">
        <v>481</v>
      </c>
      <c r="T5"/>
    </row>
    <row r="6" spans="1:122" s="53" customFormat="1" x14ac:dyDescent="0.3">
      <c r="A6" s="53" t="s">
        <v>331</v>
      </c>
      <c r="B6" s="53" t="s">
        <v>383</v>
      </c>
      <c r="C6" s="55">
        <v>40.668590000000002</v>
      </c>
      <c r="D6" s="55">
        <v>-78.990710000000007</v>
      </c>
      <c r="E6" s="4">
        <v>82.24</v>
      </c>
      <c r="F6" s="91" t="s">
        <v>498</v>
      </c>
      <c r="G6" s="91" t="s">
        <v>499</v>
      </c>
      <c r="H6" s="91">
        <v>13815</v>
      </c>
      <c r="I6" t="s">
        <v>500</v>
      </c>
      <c r="J6" t="s">
        <v>501</v>
      </c>
      <c r="K6" t="s">
        <v>502</v>
      </c>
      <c r="L6" t="s">
        <v>503</v>
      </c>
      <c r="M6" t="s">
        <v>475</v>
      </c>
      <c r="N6">
        <v>16002</v>
      </c>
      <c r="O6" t="s">
        <v>477</v>
      </c>
      <c r="P6" t="s">
        <v>487</v>
      </c>
      <c r="Q6" t="s">
        <v>479</v>
      </c>
      <c r="R6" t="s">
        <v>480</v>
      </c>
      <c r="S6" t="s">
        <v>481</v>
      </c>
      <c r="T6"/>
    </row>
    <row r="7" spans="1:122" s="53" customFormat="1" x14ac:dyDescent="0.3">
      <c r="A7" s="53" t="s">
        <v>355</v>
      </c>
      <c r="B7" s="53" t="s">
        <v>384</v>
      </c>
      <c r="C7" s="55">
        <v>40.671190000000003</v>
      </c>
      <c r="D7" s="55">
        <v>-78.995429999999999</v>
      </c>
      <c r="E7" s="126">
        <v>12.08</v>
      </c>
      <c r="F7" s="127" t="s">
        <v>504</v>
      </c>
      <c r="G7" s="128" t="s">
        <v>505</v>
      </c>
      <c r="H7" s="128">
        <v>13866</v>
      </c>
      <c r="I7" s="53" t="s">
        <v>506</v>
      </c>
      <c r="J7" s="53" t="s">
        <v>507</v>
      </c>
      <c r="K7" s="53" t="s">
        <v>508</v>
      </c>
      <c r="L7" s="53" t="s">
        <v>509</v>
      </c>
      <c r="M7" t="s">
        <v>475</v>
      </c>
      <c r="N7" s="53">
        <v>15249</v>
      </c>
      <c r="O7" s="122" t="s">
        <v>477</v>
      </c>
      <c r="P7" s="122" t="s">
        <v>510</v>
      </c>
      <c r="Q7" s="122" t="s">
        <v>511</v>
      </c>
      <c r="R7" s="122" t="s">
        <v>511</v>
      </c>
      <c r="S7" s="122" t="s">
        <v>481</v>
      </c>
    </row>
    <row r="8" spans="1:122" s="53" customFormat="1" x14ac:dyDescent="0.3">
      <c r="A8" s="53" t="s">
        <v>357</v>
      </c>
      <c r="B8" s="53" t="s">
        <v>385</v>
      </c>
      <c r="C8" s="55">
        <v>40.671190000000003</v>
      </c>
      <c r="D8" s="55">
        <v>-78.995429999999999</v>
      </c>
      <c r="E8" s="126">
        <v>12.08</v>
      </c>
      <c r="F8" s="127" t="s">
        <v>504</v>
      </c>
      <c r="G8" s="128" t="s">
        <v>505</v>
      </c>
      <c r="H8" s="128">
        <v>13866</v>
      </c>
      <c r="I8" s="53" t="s">
        <v>506</v>
      </c>
      <c r="J8" s="53" t="s">
        <v>507</v>
      </c>
      <c r="K8" s="53" t="s">
        <v>508</v>
      </c>
      <c r="L8" s="53" t="s">
        <v>509</v>
      </c>
      <c r="M8" t="s">
        <v>475</v>
      </c>
      <c r="N8" s="53">
        <v>15249</v>
      </c>
      <c r="O8" s="122" t="s">
        <v>477</v>
      </c>
      <c r="P8" s="122" t="s">
        <v>510</v>
      </c>
      <c r="Q8" s="122" t="s">
        <v>511</v>
      </c>
      <c r="R8" s="122" t="s">
        <v>511</v>
      </c>
      <c r="S8" s="122" t="s">
        <v>481</v>
      </c>
    </row>
    <row r="9" spans="1:122" s="53" customFormat="1" x14ac:dyDescent="0.3">
      <c r="A9" s="53" t="s">
        <v>386</v>
      </c>
      <c r="B9" s="53" t="s">
        <v>319</v>
      </c>
      <c r="C9" s="55">
        <v>40.663319999999999</v>
      </c>
      <c r="D9" s="55">
        <v>-78.978949</v>
      </c>
      <c r="E9" s="4">
        <v>21.43</v>
      </c>
      <c r="F9" s="91" t="s">
        <v>492</v>
      </c>
      <c r="G9" s="91" t="s">
        <v>493</v>
      </c>
      <c r="H9" s="91">
        <v>13814</v>
      </c>
      <c r="I9" t="s">
        <v>494</v>
      </c>
      <c r="J9" t="s">
        <v>495</v>
      </c>
      <c r="K9" t="s">
        <v>496</v>
      </c>
      <c r="L9"/>
      <c r="M9" t="s">
        <v>475</v>
      </c>
      <c r="N9" t="s">
        <v>497</v>
      </c>
      <c r="O9" t="s">
        <v>477</v>
      </c>
      <c r="P9" t="s">
        <v>478</v>
      </c>
      <c r="Q9" t="s">
        <v>479</v>
      </c>
      <c r="R9" t="s">
        <v>480</v>
      </c>
      <c r="S9" t="s">
        <v>481</v>
      </c>
      <c r="T9"/>
    </row>
    <row r="10" spans="1:122" s="53" customFormat="1" x14ac:dyDescent="0.3">
      <c r="A10" s="53" t="s">
        <v>304</v>
      </c>
      <c r="B10" s="53" t="s">
        <v>392</v>
      </c>
      <c r="C10" s="55">
        <v>40.638750000000002</v>
      </c>
      <c r="D10" s="55">
        <v>-79.007130000000004</v>
      </c>
      <c r="E10" s="4">
        <v>11.05</v>
      </c>
      <c r="F10" s="91">
        <v>114</v>
      </c>
      <c r="G10" s="91" t="s">
        <v>512</v>
      </c>
      <c r="H10" s="91">
        <v>14106</v>
      </c>
      <c r="I10" t="s">
        <v>513</v>
      </c>
      <c r="J10" t="s">
        <v>514</v>
      </c>
      <c r="K10" t="s">
        <v>473</v>
      </c>
      <c r="L10" t="s">
        <v>514</v>
      </c>
      <c r="M10" t="s">
        <v>475</v>
      </c>
      <c r="N10" t="s">
        <v>515</v>
      </c>
      <c r="O10" t="s">
        <v>477</v>
      </c>
      <c r="P10" t="s">
        <v>478</v>
      </c>
      <c r="Q10" t="s">
        <v>479</v>
      </c>
      <c r="R10" t="s">
        <v>480</v>
      </c>
      <c r="S10" t="s">
        <v>481</v>
      </c>
    </row>
    <row r="11" spans="1:122" s="53" customFormat="1" x14ac:dyDescent="0.3">
      <c r="A11" s="53" t="s">
        <v>285</v>
      </c>
      <c r="B11" s="53" t="s">
        <v>393</v>
      </c>
      <c r="C11" s="55">
        <v>40.638759999999998</v>
      </c>
      <c r="D11" s="55">
        <v>-79.007480000000001</v>
      </c>
      <c r="E11" s="4">
        <v>11.05</v>
      </c>
      <c r="F11" s="91">
        <v>114</v>
      </c>
      <c r="G11" s="91" t="s">
        <v>512</v>
      </c>
      <c r="H11" s="91">
        <v>14106</v>
      </c>
      <c r="I11" t="s">
        <v>513</v>
      </c>
      <c r="J11" t="s">
        <v>514</v>
      </c>
      <c r="K11" t="s">
        <v>473</v>
      </c>
      <c r="L11" t="s">
        <v>514</v>
      </c>
      <c r="M11" t="s">
        <v>475</v>
      </c>
      <c r="N11" t="s">
        <v>515</v>
      </c>
      <c r="O11" t="s">
        <v>477</v>
      </c>
      <c r="P11" t="s">
        <v>478</v>
      </c>
      <c r="Q11" t="s">
        <v>479</v>
      </c>
      <c r="R11" t="s">
        <v>480</v>
      </c>
      <c r="S11" t="s">
        <v>481</v>
      </c>
      <c r="T11"/>
    </row>
    <row r="12" spans="1:122" s="53" customFormat="1" x14ac:dyDescent="0.3">
      <c r="A12" s="53" t="s">
        <v>286</v>
      </c>
      <c r="B12" s="53" t="s">
        <v>394</v>
      </c>
      <c r="C12" s="55">
        <v>40.638820000000003</v>
      </c>
      <c r="D12" s="55">
        <v>-79.007739999999998</v>
      </c>
      <c r="E12" s="4">
        <v>11.05</v>
      </c>
      <c r="F12" s="91">
        <v>114</v>
      </c>
      <c r="G12" s="91" t="s">
        <v>512</v>
      </c>
      <c r="H12" s="91">
        <v>14106</v>
      </c>
      <c r="I12" t="s">
        <v>513</v>
      </c>
      <c r="J12" t="s">
        <v>514</v>
      </c>
      <c r="K12" t="s">
        <v>473</v>
      </c>
      <c r="L12" t="s">
        <v>514</v>
      </c>
      <c r="M12" t="s">
        <v>475</v>
      </c>
      <c r="N12" t="s">
        <v>515</v>
      </c>
      <c r="O12" t="s">
        <v>477</v>
      </c>
      <c r="P12" t="s">
        <v>478</v>
      </c>
      <c r="Q12" t="s">
        <v>479</v>
      </c>
      <c r="R12" t="s">
        <v>480</v>
      </c>
      <c r="S12" t="s">
        <v>481</v>
      </c>
      <c r="T12"/>
    </row>
    <row r="13" spans="1:122" s="53" customFormat="1" x14ac:dyDescent="0.3">
      <c r="A13" s="53" t="s">
        <v>289</v>
      </c>
      <c r="B13" s="53" t="s">
        <v>395</v>
      </c>
      <c r="C13" s="55">
        <v>40.638860000000001</v>
      </c>
      <c r="D13" s="55">
        <v>-79.007909999999995</v>
      </c>
      <c r="E13" s="4">
        <v>11.05</v>
      </c>
      <c r="F13" s="91">
        <v>114</v>
      </c>
      <c r="G13" s="91" t="s">
        <v>512</v>
      </c>
      <c r="H13" s="91">
        <v>14106</v>
      </c>
      <c r="I13" t="s">
        <v>513</v>
      </c>
      <c r="J13" t="s">
        <v>514</v>
      </c>
      <c r="K13" t="s">
        <v>473</v>
      </c>
      <c r="L13" t="s">
        <v>514</v>
      </c>
      <c r="M13" t="s">
        <v>475</v>
      </c>
      <c r="N13" t="s">
        <v>515</v>
      </c>
      <c r="O13" t="s">
        <v>477</v>
      </c>
      <c r="P13" t="s">
        <v>478</v>
      </c>
      <c r="Q13" t="s">
        <v>479</v>
      </c>
      <c r="R13" t="s">
        <v>480</v>
      </c>
      <c r="S13" t="s">
        <v>481</v>
      </c>
      <c r="T13"/>
    </row>
    <row r="14" spans="1:122" s="53" customFormat="1" x14ac:dyDescent="0.3">
      <c r="A14" s="53" t="s">
        <v>291</v>
      </c>
      <c r="B14" s="53" t="s">
        <v>396</v>
      </c>
      <c r="C14" s="55">
        <v>40.638730000000002</v>
      </c>
      <c r="D14" s="55">
        <v>-79.007990000000007</v>
      </c>
      <c r="E14" s="4">
        <v>11.05</v>
      </c>
      <c r="F14" s="91">
        <v>114</v>
      </c>
      <c r="G14" s="91" t="s">
        <v>512</v>
      </c>
      <c r="H14" s="91">
        <v>14106</v>
      </c>
      <c r="I14" t="s">
        <v>513</v>
      </c>
      <c r="J14" t="s">
        <v>514</v>
      </c>
      <c r="K14" t="s">
        <v>473</v>
      </c>
      <c r="L14" t="s">
        <v>514</v>
      </c>
      <c r="M14" t="s">
        <v>475</v>
      </c>
      <c r="N14" t="s">
        <v>515</v>
      </c>
      <c r="O14" t="s">
        <v>477</v>
      </c>
      <c r="P14" t="s">
        <v>478</v>
      </c>
      <c r="Q14" t="s">
        <v>479</v>
      </c>
      <c r="R14" t="s">
        <v>480</v>
      </c>
      <c r="S14" t="s">
        <v>481</v>
      </c>
      <c r="T14"/>
    </row>
    <row r="15" spans="1:122" s="53" customFormat="1" x14ac:dyDescent="0.3">
      <c r="A15" s="53" t="s">
        <v>367</v>
      </c>
      <c r="B15" s="53" t="s">
        <v>397</v>
      </c>
      <c r="C15" s="55">
        <v>40.636710000000001</v>
      </c>
      <c r="D15" s="55">
        <v>-79.011150000000001</v>
      </c>
      <c r="E15" s="4">
        <v>270.75</v>
      </c>
      <c r="F15" s="91">
        <v>104.03</v>
      </c>
      <c r="G15" s="91" t="s">
        <v>516</v>
      </c>
      <c r="H15" s="91">
        <v>14548</v>
      </c>
      <c r="I15" t="s">
        <v>517</v>
      </c>
      <c r="J15" t="s">
        <v>518</v>
      </c>
      <c r="K15" t="s">
        <v>473</v>
      </c>
      <c r="L15" t="s">
        <v>519</v>
      </c>
      <c r="M15" t="s">
        <v>475</v>
      </c>
      <c r="N15" t="s">
        <v>520</v>
      </c>
      <c r="O15" t="s">
        <v>477</v>
      </c>
      <c r="P15" t="s">
        <v>478</v>
      </c>
      <c r="Q15" t="s">
        <v>488</v>
      </c>
      <c r="R15" t="s">
        <v>521</v>
      </c>
      <c r="S15" t="s">
        <v>481</v>
      </c>
      <c r="T15" t="s">
        <v>522</v>
      </c>
    </row>
    <row r="16" spans="1:122" s="53" customFormat="1" x14ac:dyDescent="0.3">
      <c r="A16" s="53" t="s">
        <v>412</v>
      </c>
      <c r="B16" s="53" t="s">
        <v>404</v>
      </c>
      <c r="C16" s="55">
        <v>40.679369999999999</v>
      </c>
      <c r="D16" s="55">
        <v>-79.013949999999994</v>
      </c>
      <c r="E16" s="4">
        <v>10.59</v>
      </c>
      <c r="F16" s="91">
        <v>120</v>
      </c>
      <c r="G16" s="91" t="s">
        <v>523</v>
      </c>
      <c r="H16" s="91">
        <v>13722</v>
      </c>
      <c r="I16" t="s">
        <v>524</v>
      </c>
      <c r="J16" t="s">
        <v>525</v>
      </c>
      <c r="K16" t="s">
        <v>526</v>
      </c>
      <c r="L16"/>
      <c r="M16" t="s">
        <v>475</v>
      </c>
      <c r="N16">
        <v>15701</v>
      </c>
      <c r="O16" t="s">
        <v>477</v>
      </c>
      <c r="P16" t="s">
        <v>527</v>
      </c>
      <c r="Q16" t="s">
        <v>479</v>
      </c>
      <c r="R16" t="s">
        <v>480</v>
      </c>
      <c r="S16" t="s">
        <v>481</v>
      </c>
      <c r="T16"/>
    </row>
    <row r="17" spans="1:20" s="53" customFormat="1" x14ac:dyDescent="0.3">
      <c r="A17" s="53" t="s">
        <v>296</v>
      </c>
      <c r="B17" s="53" t="s">
        <v>405</v>
      </c>
      <c r="C17" s="55">
        <v>40.683199999999999</v>
      </c>
      <c r="D17" s="55">
        <v>-79.013040000000004</v>
      </c>
      <c r="E17" s="4">
        <v>37.020000000000003</v>
      </c>
      <c r="F17" s="91">
        <v>144</v>
      </c>
      <c r="G17" s="91" t="s">
        <v>528</v>
      </c>
      <c r="H17" s="91">
        <v>13777</v>
      </c>
      <c r="I17" t="s">
        <v>529</v>
      </c>
      <c r="J17" t="s">
        <v>530</v>
      </c>
      <c r="K17" t="s">
        <v>531</v>
      </c>
      <c r="L17" t="s">
        <v>532</v>
      </c>
      <c r="M17" t="s">
        <v>475</v>
      </c>
      <c r="N17" t="s">
        <v>533</v>
      </c>
      <c r="O17" t="s">
        <v>477</v>
      </c>
      <c r="P17" t="s">
        <v>478</v>
      </c>
      <c r="Q17" t="s">
        <v>479</v>
      </c>
      <c r="R17" t="s">
        <v>480</v>
      </c>
      <c r="S17" t="s">
        <v>481</v>
      </c>
      <c r="T17"/>
    </row>
    <row r="18" spans="1:20" x14ac:dyDescent="0.3">
      <c r="B18" s="53" t="s">
        <v>536</v>
      </c>
      <c r="E18">
        <v>11.9</v>
      </c>
      <c r="F18" s="91">
        <v>114.03</v>
      </c>
      <c r="G18" s="91" t="s">
        <v>544</v>
      </c>
      <c r="H18">
        <v>14109</v>
      </c>
      <c r="I18" t="s">
        <v>513</v>
      </c>
      <c r="J18" t="s">
        <v>514</v>
      </c>
      <c r="K18" t="s">
        <v>473</v>
      </c>
      <c r="L18" t="s">
        <v>514</v>
      </c>
      <c r="M18" t="s">
        <v>475</v>
      </c>
      <c r="N18" t="s">
        <v>515</v>
      </c>
      <c r="O18" t="s">
        <v>477</v>
      </c>
      <c r="P18" t="s">
        <v>478</v>
      </c>
      <c r="Q18" t="s">
        <v>488</v>
      </c>
      <c r="R18" t="s">
        <v>521</v>
      </c>
      <c r="S18" t="s">
        <v>481</v>
      </c>
      <c r="T18" t="s">
        <v>522</v>
      </c>
    </row>
    <row r="19" spans="1:20" x14ac:dyDescent="0.3">
      <c r="E19">
        <v>11.05</v>
      </c>
      <c r="F19" s="91">
        <v>114</v>
      </c>
      <c r="G19" s="91" t="s">
        <v>512</v>
      </c>
      <c r="H19">
        <v>14106</v>
      </c>
      <c r="I19" t="s">
        <v>513</v>
      </c>
      <c r="J19" t="s">
        <v>514</v>
      </c>
      <c r="K19" t="s">
        <v>473</v>
      </c>
      <c r="L19" t="s">
        <v>514</v>
      </c>
      <c r="M19" t="s">
        <v>475</v>
      </c>
      <c r="N19" t="s">
        <v>515</v>
      </c>
      <c r="O19" t="s">
        <v>477</v>
      </c>
      <c r="P19" t="s">
        <v>478</v>
      </c>
      <c r="Q19" t="s">
        <v>479</v>
      </c>
      <c r="R19" t="s">
        <v>480</v>
      </c>
      <c r="S19" t="s">
        <v>481</v>
      </c>
    </row>
    <row r="20" spans="1:20" x14ac:dyDescent="0.3">
      <c r="E20">
        <v>35</v>
      </c>
      <c r="F20" s="91">
        <v>130</v>
      </c>
      <c r="G20" s="91" t="s">
        <v>545</v>
      </c>
      <c r="H20">
        <v>14597</v>
      </c>
      <c r="I20" t="s">
        <v>546</v>
      </c>
      <c r="J20" t="s">
        <v>547</v>
      </c>
      <c r="K20" t="s">
        <v>473</v>
      </c>
      <c r="L20" t="s">
        <v>548</v>
      </c>
      <c r="M20" t="s">
        <v>475</v>
      </c>
      <c r="N20" s="91">
        <v>15765</v>
      </c>
      <c r="O20" t="s">
        <v>477</v>
      </c>
      <c r="P20" t="s">
        <v>487</v>
      </c>
      <c r="Q20" t="s">
        <v>479</v>
      </c>
      <c r="R20" t="s">
        <v>480</v>
      </c>
      <c r="S20" t="s">
        <v>490</v>
      </c>
    </row>
    <row r="21" spans="1:20" x14ac:dyDescent="0.3">
      <c r="B21" s="53" t="s">
        <v>537</v>
      </c>
      <c r="E21">
        <v>270.75</v>
      </c>
      <c r="F21" s="91">
        <v>104.03</v>
      </c>
      <c r="G21" s="91" t="s">
        <v>516</v>
      </c>
      <c r="H21">
        <v>14548</v>
      </c>
      <c r="I21" t="s">
        <v>517</v>
      </c>
      <c r="J21" t="s">
        <v>518</v>
      </c>
      <c r="K21" t="s">
        <v>473</v>
      </c>
      <c r="L21" t="s">
        <v>519</v>
      </c>
      <c r="M21" t="s">
        <v>475</v>
      </c>
      <c r="N21" s="91" t="s">
        <v>520</v>
      </c>
      <c r="O21" t="s">
        <v>477</v>
      </c>
      <c r="P21" t="s">
        <v>478</v>
      </c>
      <c r="Q21" t="s">
        <v>488</v>
      </c>
      <c r="R21" t="s">
        <v>521</v>
      </c>
      <c r="S21" t="s">
        <v>481</v>
      </c>
      <c r="T21" t="s">
        <v>522</v>
      </c>
    </row>
    <row r="22" spans="1:20" x14ac:dyDescent="0.3">
      <c r="E22">
        <v>11.9</v>
      </c>
      <c r="F22" s="91">
        <v>114.03</v>
      </c>
      <c r="G22" s="91" t="s">
        <v>544</v>
      </c>
      <c r="H22">
        <v>14109</v>
      </c>
      <c r="I22" t="s">
        <v>513</v>
      </c>
      <c r="J22" t="s">
        <v>514</v>
      </c>
      <c r="K22" t="s">
        <v>473</v>
      </c>
      <c r="L22" t="s">
        <v>514</v>
      </c>
      <c r="M22" t="s">
        <v>475</v>
      </c>
      <c r="N22" s="91" t="s">
        <v>515</v>
      </c>
      <c r="O22" t="s">
        <v>477</v>
      </c>
      <c r="P22" t="s">
        <v>478</v>
      </c>
      <c r="Q22" t="s">
        <v>488</v>
      </c>
      <c r="R22" t="s">
        <v>521</v>
      </c>
      <c r="S22" t="s">
        <v>481</v>
      </c>
      <c r="T22" t="s">
        <v>522</v>
      </c>
    </row>
    <row r="23" spans="1:20" x14ac:dyDescent="0.3">
      <c r="E23">
        <v>11.05</v>
      </c>
      <c r="F23" s="91">
        <v>114</v>
      </c>
      <c r="G23" s="91" t="s">
        <v>512</v>
      </c>
      <c r="H23">
        <v>14106</v>
      </c>
      <c r="I23" t="s">
        <v>513</v>
      </c>
      <c r="J23" t="s">
        <v>514</v>
      </c>
      <c r="K23" t="s">
        <v>473</v>
      </c>
      <c r="L23" t="s">
        <v>514</v>
      </c>
      <c r="M23" t="s">
        <v>475</v>
      </c>
      <c r="N23" s="91" t="s">
        <v>515</v>
      </c>
      <c r="O23" t="s">
        <v>477</v>
      </c>
      <c r="P23" t="s">
        <v>478</v>
      </c>
      <c r="Q23" t="s">
        <v>479</v>
      </c>
      <c r="R23" t="s">
        <v>480</v>
      </c>
      <c r="S23" t="s">
        <v>481</v>
      </c>
    </row>
    <row r="24" spans="1:20" x14ac:dyDescent="0.3">
      <c r="E24">
        <v>35</v>
      </c>
      <c r="F24" s="91">
        <v>130</v>
      </c>
      <c r="G24" s="91" t="s">
        <v>545</v>
      </c>
      <c r="H24">
        <v>14597</v>
      </c>
      <c r="I24" t="s">
        <v>546</v>
      </c>
      <c r="J24" t="s">
        <v>547</v>
      </c>
      <c r="K24" t="s">
        <v>473</v>
      </c>
      <c r="L24" t="s">
        <v>548</v>
      </c>
      <c r="M24" t="s">
        <v>475</v>
      </c>
      <c r="N24" s="91">
        <v>15765</v>
      </c>
      <c r="O24" t="s">
        <v>477</v>
      </c>
      <c r="P24" t="s">
        <v>487</v>
      </c>
      <c r="Q24" t="s">
        <v>479</v>
      </c>
      <c r="R24" t="s">
        <v>480</v>
      </c>
      <c r="S24" t="s">
        <v>490</v>
      </c>
    </row>
    <row r="25" spans="1:20" x14ac:dyDescent="0.3">
      <c r="B25" s="53" t="s">
        <v>538</v>
      </c>
      <c r="E25">
        <v>602.80999999999995</v>
      </c>
      <c r="F25" s="91">
        <v>120</v>
      </c>
      <c r="G25" s="91" t="s">
        <v>549</v>
      </c>
      <c r="H25">
        <v>14118</v>
      </c>
      <c r="I25" t="s">
        <v>550</v>
      </c>
      <c r="J25" t="s">
        <v>551</v>
      </c>
      <c r="K25" t="s">
        <v>552</v>
      </c>
      <c r="L25" t="s">
        <v>553</v>
      </c>
      <c r="M25" t="s">
        <v>475</v>
      </c>
      <c r="N25" s="91" t="s">
        <v>554</v>
      </c>
      <c r="O25" t="s">
        <v>477</v>
      </c>
      <c r="P25" t="s">
        <v>478</v>
      </c>
      <c r="Q25" t="s">
        <v>479</v>
      </c>
      <c r="R25" t="s">
        <v>480</v>
      </c>
      <c r="S25" t="s">
        <v>490</v>
      </c>
    </row>
    <row r="26" spans="1:20" x14ac:dyDescent="0.3">
      <c r="E26">
        <v>28</v>
      </c>
      <c r="F26" s="91">
        <v>120</v>
      </c>
      <c r="G26" s="91" t="s">
        <v>555</v>
      </c>
      <c r="H26">
        <v>13930</v>
      </c>
      <c r="I26" t="s">
        <v>550</v>
      </c>
      <c r="J26" t="s">
        <v>551</v>
      </c>
      <c r="K26" t="s">
        <v>552</v>
      </c>
      <c r="M26" t="s">
        <v>475</v>
      </c>
      <c r="N26" s="91">
        <v>15732</v>
      </c>
      <c r="O26" t="s">
        <v>477</v>
      </c>
      <c r="P26" t="s">
        <v>478</v>
      </c>
      <c r="Q26" t="s">
        <v>479</v>
      </c>
      <c r="R26" t="s">
        <v>480</v>
      </c>
      <c r="S26" t="s">
        <v>481</v>
      </c>
    </row>
    <row r="27" spans="1:20" x14ac:dyDescent="0.3">
      <c r="B27" s="53" t="s">
        <v>539</v>
      </c>
      <c r="E27">
        <v>0</v>
      </c>
      <c r="F27" s="91">
        <v>724</v>
      </c>
      <c r="G27" s="91" t="s">
        <v>556</v>
      </c>
      <c r="H27">
        <v>16200</v>
      </c>
      <c r="I27" t="s">
        <v>557</v>
      </c>
      <c r="J27" t="s">
        <v>558</v>
      </c>
      <c r="K27" t="s">
        <v>485</v>
      </c>
      <c r="L27" t="s">
        <v>559</v>
      </c>
      <c r="M27" t="s">
        <v>475</v>
      </c>
      <c r="N27" s="91" t="s">
        <v>560</v>
      </c>
      <c r="O27" t="s">
        <v>561</v>
      </c>
      <c r="P27" t="s">
        <v>510</v>
      </c>
      <c r="Q27" t="s">
        <v>511</v>
      </c>
      <c r="R27" t="s">
        <v>511</v>
      </c>
      <c r="S27" t="s">
        <v>481</v>
      </c>
    </row>
    <row r="28" spans="1:20" x14ac:dyDescent="0.3">
      <c r="E28">
        <v>0</v>
      </c>
      <c r="F28" s="91">
        <v>402</v>
      </c>
      <c r="G28" s="91" t="s">
        <v>562</v>
      </c>
      <c r="H28">
        <v>16152</v>
      </c>
      <c r="I28" t="s">
        <v>563</v>
      </c>
      <c r="J28" t="s">
        <v>564</v>
      </c>
      <c r="K28" t="s">
        <v>485</v>
      </c>
      <c r="L28" t="s">
        <v>565</v>
      </c>
      <c r="M28" t="s">
        <v>475</v>
      </c>
      <c r="N28" s="91" t="s">
        <v>566</v>
      </c>
      <c r="O28" t="s">
        <v>561</v>
      </c>
      <c r="P28" t="s">
        <v>510</v>
      </c>
      <c r="Q28" t="s">
        <v>511</v>
      </c>
      <c r="R28" t="s">
        <v>511</v>
      </c>
      <c r="S28" t="s">
        <v>481</v>
      </c>
    </row>
    <row r="29" spans="1:20" x14ac:dyDescent="0.3">
      <c r="E29">
        <v>5.45</v>
      </c>
      <c r="F29" s="91">
        <v>201</v>
      </c>
      <c r="G29" s="91" t="s">
        <v>567</v>
      </c>
      <c r="H29">
        <v>16224</v>
      </c>
      <c r="I29" t="s">
        <v>557</v>
      </c>
      <c r="J29" t="s">
        <v>568</v>
      </c>
      <c r="K29" t="s">
        <v>485</v>
      </c>
      <c r="L29" t="s">
        <v>569</v>
      </c>
      <c r="M29" t="s">
        <v>475</v>
      </c>
      <c r="N29" s="91">
        <v>15728</v>
      </c>
      <c r="O29" t="s">
        <v>561</v>
      </c>
      <c r="P29" t="s">
        <v>510</v>
      </c>
      <c r="Q29" t="s">
        <v>511</v>
      </c>
      <c r="R29" t="s">
        <v>511</v>
      </c>
      <c r="S29" t="s">
        <v>481</v>
      </c>
    </row>
    <row r="30" spans="1:20" x14ac:dyDescent="0.3">
      <c r="E30">
        <v>6.5</v>
      </c>
      <c r="F30" s="91">
        <v>210</v>
      </c>
      <c r="G30" s="91" t="s">
        <v>570</v>
      </c>
      <c r="H30">
        <v>16225</v>
      </c>
      <c r="I30" t="s">
        <v>571</v>
      </c>
      <c r="J30" t="s">
        <v>558</v>
      </c>
      <c r="K30" t="s">
        <v>485</v>
      </c>
      <c r="L30" t="s">
        <v>572</v>
      </c>
      <c r="M30" t="s">
        <v>475</v>
      </c>
      <c r="N30" s="91" t="s">
        <v>560</v>
      </c>
      <c r="O30" t="s">
        <v>561</v>
      </c>
      <c r="P30" t="s">
        <v>573</v>
      </c>
      <c r="Q30" t="s">
        <v>511</v>
      </c>
      <c r="R30" t="s">
        <v>511</v>
      </c>
      <c r="S30" t="s">
        <v>481</v>
      </c>
    </row>
    <row r="31" spans="1:20" x14ac:dyDescent="0.3">
      <c r="E31">
        <v>2.6</v>
      </c>
      <c r="F31" s="91">
        <v>600</v>
      </c>
      <c r="G31" s="91" t="s">
        <v>574</v>
      </c>
      <c r="H31">
        <v>16178</v>
      </c>
      <c r="I31" t="s">
        <v>557</v>
      </c>
      <c r="J31" t="s">
        <v>575</v>
      </c>
      <c r="K31" t="s">
        <v>485</v>
      </c>
      <c r="M31" t="s">
        <v>475</v>
      </c>
      <c r="N31" s="91">
        <v>15728</v>
      </c>
      <c r="O31" t="s">
        <v>561</v>
      </c>
      <c r="P31" t="s">
        <v>478</v>
      </c>
      <c r="Q31" t="s">
        <v>511</v>
      </c>
      <c r="R31" t="s">
        <v>511</v>
      </c>
      <c r="S31" t="s">
        <v>481</v>
      </c>
    </row>
    <row r="32" spans="1:20" x14ac:dyDescent="0.3">
      <c r="E32">
        <v>27.25</v>
      </c>
      <c r="F32" s="91">
        <v>126</v>
      </c>
      <c r="G32" s="91" t="s">
        <v>576</v>
      </c>
      <c r="H32">
        <v>13938</v>
      </c>
      <c r="I32" t="s">
        <v>577</v>
      </c>
      <c r="J32" t="s">
        <v>578</v>
      </c>
      <c r="K32" t="s">
        <v>579</v>
      </c>
      <c r="L32" t="s">
        <v>580</v>
      </c>
      <c r="M32" t="s">
        <v>581</v>
      </c>
      <c r="N32" s="91">
        <v>40507</v>
      </c>
      <c r="O32" t="s">
        <v>477</v>
      </c>
      <c r="P32" t="s">
        <v>478</v>
      </c>
      <c r="Q32" t="s">
        <v>479</v>
      </c>
      <c r="R32" t="s">
        <v>480</v>
      </c>
      <c r="S32" t="s">
        <v>481</v>
      </c>
    </row>
    <row r="33" spans="2:20" x14ac:dyDescent="0.3">
      <c r="E33">
        <v>36</v>
      </c>
      <c r="F33" s="91">
        <v>121</v>
      </c>
      <c r="G33" s="91" t="s">
        <v>582</v>
      </c>
      <c r="H33">
        <v>13931</v>
      </c>
      <c r="I33" t="s">
        <v>550</v>
      </c>
      <c r="J33" t="s">
        <v>551</v>
      </c>
      <c r="K33" t="s">
        <v>552</v>
      </c>
      <c r="M33" t="s">
        <v>475</v>
      </c>
      <c r="N33" s="91">
        <v>15732</v>
      </c>
      <c r="O33" t="s">
        <v>477</v>
      </c>
      <c r="P33" t="s">
        <v>478</v>
      </c>
      <c r="Q33" t="s">
        <v>479</v>
      </c>
      <c r="R33" t="s">
        <v>480</v>
      </c>
      <c r="S33" t="s">
        <v>481</v>
      </c>
    </row>
    <row r="34" spans="2:20" x14ac:dyDescent="0.3">
      <c r="E34">
        <v>99</v>
      </c>
      <c r="F34" s="91">
        <v>120</v>
      </c>
      <c r="G34" s="91" t="s">
        <v>583</v>
      </c>
      <c r="H34">
        <v>14071</v>
      </c>
      <c r="I34" t="s">
        <v>584</v>
      </c>
      <c r="J34" t="s">
        <v>578</v>
      </c>
      <c r="K34" t="s">
        <v>579</v>
      </c>
      <c r="L34" t="s">
        <v>548</v>
      </c>
      <c r="M34" t="s">
        <v>581</v>
      </c>
      <c r="N34" s="91">
        <v>40507</v>
      </c>
      <c r="O34" t="s">
        <v>477</v>
      </c>
      <c r="P34" t="s">
        <v>478</v>
      </c>
      <c r="Q34" t="s">
        <v>479</v>
      </c>
      <c r="R34" t="s">
        <v>480</v>
      </c>
      <c r="S34" t="s">
        <v>490</v>
      </c>
    </row>
    <row r="35" spans="2:20" x14ac:dyDescent="0.3">
      <c r="E35">
        <v>37.020000000000003</v>
      </c>
      <c r="F35" s="91">
        <v>144</v>
      </c>
      <c r="G35" s="91" t="s">
        <v>528</v>
      </c>
      <c r="H35">
        <v>13777</v>
      </c>
      <c r="I35" t="s">
        <v>529</v>
      </c>
      <c r="J35" t="s">
        <v>530</v>
      </c>
      <c r="K35" t="s">
        <v>531</v>
      </c>
      <c r="L35" t="s">
        <v>532</v>
      </c>
      <c r="M35" t="s">
        <v>475</v>
      </c>
      <c r="N35" s="91" t="s">
        <v>533</v>
      </c>
      <c r="O35" t="s">
        <v>477</v>
      </c>
      <c r="P35" t="s">
        <v>478</v>
      </c>
      <c r="Q35" t="s">
        <v>479</v>
      </c>
      <c r="R35" t="s">
        <v>480</v>
      </c>
      <c r="S35" t="s">
        <v>481</v>
      </c>
    </row>
    <row r="36" spans="2:20" x14ac:dyDescent="0.3">
      <c r="E36">
        <v>10.59</v>
      </c>
      <c r="F36" s="91">
        <v>120</v>
      </c>
      <c r="G36" s="91" t="s">
        <v>523</v>
      </c>
      <c r="H36">
        <v>13722</v>
      </c>
      <c r="I36" t="s">
        <v>524</v>
      </c>
      <c r="J36" t="s">
        <v>525</v>
      </c>
      <c r="K36" t="s">
        <v>526</v>
      </c>
      <c r="M36" t="s">
        <v>475</v>
      </c>
      <c r="N36" s="91">
        <v>15701</v>
      </c>
      <c r="O36" t="s">
        <v>477</v>
      </c>
      <c r="P36" t="s">
        <v>527</v>
      </c>
      <c r="Q36" t="s">
        <v>479</v>
      </c>
      <c r="R36" t="s">
        <v>480</v>
      </c>
      <c r="S36" t="s">
        <v>481</v>
      </c>
    </row>
    <row r="37" spans="2:20" x14ac:dyDescent="0.3">
      <c r="E37">
        <v>14</v>
      </c>
      <c r="F37" s="91">
        <v>127</v>
      </c>
      <c r="G37" s="91" t="s">
        <v>585</v>
      </c>
      <c r="H37">
        <v>13939</v>
      </c>
      <c r="I37" t="s">
        <v>550</v>
      </c>
      <c r="J37" t="s">
        <v>551</v>
      </c>
      <c r="K37" t="s">
        <v>552</v>
      </c>
      <c r="M37" t="s">
        <v>475</v>
      </c>
      <c r="N37" s="91">
        <v>15732</v>
      </c>
      <c r="O37" t="s">
        <v>477</v>
      </c>
      <c r="P37" t="s">
        <v>478</v>
      </c>
      <c r="Q37" t="s">
        <v>479</v>
      </c>
      <c r="R37" t="s">
        <v>480</v>
      </c>
      <c r="S37" t="s">
        <v>481</v>
      </c>
    </row>
    <row r="38" spans="2:20" x14ac:dyDescent="0.3">
      <c r="E38">
        <v>4.78</v>
      </c>
      <c r="F38" s="91">
        <v>727.01</v>
      </c>
      <c r="G38" s="91" t="s">
        <v>586</v>
      </c>
      <c r="H38">
        <v>16204</v>
      </c>
      <c r="I38" t="s">
        <v>571</v>
      </c>
      <c r="J38" t="s">
        <v>587</v>
      </c>
      <c r="K38" t="s">
        <v>485</v>
      </c>
      <c r="L38" t="s">
        <v>588</v>
      </c>
      <c r="M38" t="s">
        <v>475</v>
      </c>
      <c r="N38" s="91">
        <v>15728</v>
      </c>
      <c r="O38" t="s">
        <v>561</v>
      </c>
      <c r="P38" t="s">
        <v>478</v>
      </c>
      <c r="Q38" t="s">
        <v>479</v>
      </c>
      <c r="R38" t="s">
        <v>480</v>
      </c>
      <c r="S38" t="s">
        <v>481</v>
      </c>
    </row>
    <row r="39" spans="2:20" x14ac:dyDescent="0.3">
      <c r="B39" s="53" t="s">
        <v>540</v>
      </c>
      <c r="E39">
        <v>87.29</v>
      </c>
      <c r="F39" s="91">
        <v>106.01</v>
      </c>
      <c r="G39" s="91" t="s">
        <v>589</v>
      </c>
      <c r="H39">
        <v>14130</v>
      </c>
      <c r="I39" t="s">
        <v>590</v>
      </c>
      <c r="J39" t="s">
        <v>591</v>
      </c>
      <c r="K39" t="s">
        <v>485</v>
      </c>
      <c r="M39" t="s">
        <v>475</v>
      </c>
      <c r="N39" s="91">
        <v>15728</v>
      </c>
      <c r="O39" t="s">
        <v>477</v>
      </c>
      <c r="P39" t="s">
        <v>478</v>
      </c>
      <c r="Q39" t="s">
        <v>479</v>
      </c>
      <c r="R39" t="s">
        <v>480</v>
      </c>
      <c r="S39" t="s">
        <v>481</v>
      </c>
    </row>
    <row r="40" spans="2:20" x14ac:dyDescent="0.3">
      <c r="E40">
        <v>66.510000000000005</v>
      </c>
      <c r="F40" s="91">
        <v>107</v>
      </c>
      <c r="G40" s="91" t="s">
        <v>470</v>
      </c>
      <c r="H40">
        <v>13801</v>
      </c>
      <c r="I40" t="s">
        <v>471</v>
      </c>
      <c r="J40" t="s">
        <v>472</v>
      </c>
      <c r="K40" t="s">
        <v>473</v>
      </c>
      <c r="L40" t="s">
        <v>474</v>
      </c>
      <c r="M40" t="s">
        <v>475</v>
      </c>
      <c r="N40" s="91" t="s">
        <v>476</v>
      </c>
      <c r="O40" t="s">
        <v>477</v>
      </c>
      <c r="P40" t="s">
        <v>478</v>
      </c>
      <c r="Q40" t="s">
        <v>479</v>
      </c>
      <c r="R40" t="s">
        <v>480</v>
      </c>
      <c r="S40" t="s">
        <v>481</v>
      </c>
    </row>
    <row r="41" spans="2:20" x14ac:dyDescent="0.3">
      <c r="E41">
        <v>50.82</v>
      </c>
      <c r="F41" s="91">
        <v>121</v>
      </c>
      <c r="G41" s="91" t="s">
        <v>592</v>
      </c>
      <c r="H41">
        <v>14162</v>
      </c>
      <c r="I41" t="s">
        <v>593</v>
      </c>
      <c r="J41" t="s">
        <v>594</v>
      </c>
      <c r="K41" t="s">
        <v>595</v>
      </c>
      <c r="L41" t="s">
        <v>596</v>
      </c>
      <c r="M41" t="s">
        <v>597</v>
      </c>
      <c r="N41" s="91">
        <v>37073</v>
      </c>
      <c r="O41" t="s">
        <v>477</v>
      </c>
      <c r="P41" t="s">
        <v>478</v>
      </c>
      <c r="Q41" t="s">
        <v>488</v>
      </c>
      <c r="R41" t="s">
        <v>521</v>
      </c>
      <c r="S41" t="s">
        <v>490</v>
      </c>
      <c r="T41" t="s">
        <v>522</v>
      </c>
    </row>
    <row r="42" spans="2:20" x14ac:dyDescent="0.3">
      <c r="B42" s="53" t="s">
        <v>541</v>
      </c>
      <c r="E42">
        <v>21.43</v>
      </c>
      <c r="F42" s="91" t="s">
        <v>492</v>
      </c>
      <c r="G42" s="91" t="s">
        <v>493</v>
      </c>
      <c r="H42">
        <v>13814</v>
      </c>
      <c r="I42" t="s">
        <v>494</v>
      </c>
      <c r="J42" t="s">
        <v>495</v>
      </c>
      <c r="K42" t="s">
        <v>496</v>
      </c>
      <c r="M42" t="s">
        <v>475</v>
      </c>
      <c r="N42" s="91" t="s">
        <v>497</v>
      </c>
      <c r="O42" t="s">
        <v>477</v>
      </c>
      <c r="P42" t="s">
        <v>478</v>
      </c>
      <c r="Q42" t="s">
        <v>479</v>
      </c>
      <c r="R42" t="s">
        <v>480</v>
      </c>
      <c r="S42" t="s">
        <v>481</v>
      </c>
    </row>
    <row r="43" spans="2:20" x14ac:dyDescent="0.3">
      <c r="E43">
        <v>82.24</v>
      </c>
      <c r="F43" s="91" t="s">
        <v>498</v>
      </c>
      <c r="G43" s="91" t="s">
        <v>499</v>
      </c>
      <c r="H43">
        <v>13815</v>
      </c>
      <c r="I43" t="s">
        <v>500</v>
      </c>
      <c r="J43" t="s">
        <v>501</v>
      </c>
      <c r="K43" t="s">
        <v>502</v>
      </c>
      <c r="L43" t="s">
        <v>503</v>
      </c>
      <c r="M43" t="s">
        <v>475</v>
      </c>
      <c r="N43" s="91">
        <v>16002</v>
      </c>
      <c r="O43" t="s">
        <v>477</v>
      </c>
      <c r="P43" t="s">
        <v>487</v>
      </c>
      <c r="Q43" t="s">
        <v>479</v>
      </c>
      <c r="R43" t="s">
        <v>480</v>
      </c>
      <c r="S43" t="s">
        <v>481</v>
      </c>
    </row>
    <row r="44" spans="2:20" x14ac:dyDescent="0.3">
      <c r="B44" s="53" t="s">
        <v>542</v>
      </c>
      <c r="E44">
        <v>29.33</v>
      </c>
      <c r="F44" s="91">
        <v>100.01</v>
      </c>
      <c r="G44" s="91" t="s">
        <v>598</v>
      </c>
      <c r="H44">
        <v>13813</v>
      </c>
      <c r="I44" t="s">
        <v>599</v>
      </c>
      <c r="J44" t="s">
        <v>530</v>
      </c>
      <c r="K44" t="s">
        <v>531</v>
      </c>
      <c r="L44" t="s">
        <v>600</v>
      </c>
      <c r="M44" t="s">
        <v>475</v>
      </c>
      <c r="N44" s="91">
        <v>16201</v>
      </c>
      <c r="O44" t="s">
        <v>477</v>
      </c>
      <c r="P44" t="s">
        <v>487</v>
      </c>
      <c r="Q44" t="s">
        <v>479</v>
      </c>
      <c r="R44" t="s">
        <v>480</v>
      </c>
      <c r="S44" t="s">
        <v>481</v>
      </c>
    </row>
    <row r="45" spans="2:20" x14ac:dyDescent="0.3">
      <c r="E45">
        <v>82.24</v>
      </c>
      <c r="F45" s="91" t="s">
        <v>498</v>
      </c>
      <c r="G45" s="91" t="s">
        <v>499</v>
      </c>
      <c r="H45">
        <v>13815</v>
      </c>
      <c r="I45" t="s">
        <v>500</v>
      </c>
      <c r="J45" t="s">
        <v>501</v>
      </c>
      <c r="K45" t="s">
        <v>502</v>
      </c>
      <c r="L45" t="s">
        <v>503</v>
      </c>
      <c r="M45" t="s">
        <v>475</v>
      </c>
      <c r="N45" s="91">
        <v>16002</v>
      </c>
      <c r="O45" t="s">
        <v>477</v>
      </c>
      <c r="P45" t="s">
        <v>487</v>
      </c>
      <c r="Q45" t="s">
        <v>479</v>
      </c>
      <c r="R45" t="s">
        <v>480</v>
      </c>
      <c r="S45" t="s">
        <v>481</v>
      </c>
    </row>
    <row r="46" spans="2:20" x14ac:dyDescent="0.3">
      <c r="B46" s="53" t="s">
        <v>543</v>
      </c>
      <c r="E46">
        <v>6.5</v>
      </c>
      <c r="F46" s="91">
        <v>210</v>
      </c>
      <c r="G46" s="91" t="s">
        <v>570</v>
      </c>
      <c r="H46">
        <v>16225</v>
      </c>
      <c r="I46" t="s">
        <v>571</v>
      </c>
      <c r="J46" t="s">
        <v>558</v>
      </c>
      <c r="K46" t="s">
        <v>485</v>
      </c>
      <c r="L46" t="s">
        <v>572</v>
      </c>
      <c r="M46" t="s">
        <v>475</v>
      </c>
      <c r="N46" s="91" t="s">
        <v>560</v>
      </c>
      <c r="O46" t="s">
        <v>561</v>
      </c>
      <c r="P46" t="s">
        <v>573</v>
      </c>
      <c r="Q46" t="s">
        <v>511</v>
      </c>
      <c r="R46" t="s">
        <v>511</v>
      </c>
      <c r="S46" t="s">
        <v>481</v>
      </c>
    </row>
    <row r="47" spans="2:20" x14ac:dyDescent="0.3">
      <c r="E47">
        <v>37.020000000000003</v>
      </c>
      <c r="F47" s="91">
        <v>144</v>
      </c>
      <c r="G47" s="91" t="s">
        <v>528</v>
      </c>
      <c r="H47">
        <v>13777</v>
      </c>
      <c r="I47" t="s">
        <v>529</v>
      </c>
      <c r="J47" t="s">
        <v>530</v>
      </c>
      <c r="K47" t="s">
        <v>531</v>
      </c>
      <c r="L47" t="s">
        <v>532</v>
      </c>
      <c r="M47" t="s">
        <v>475</v>
      </c>
      <c r="N47" s="91" t="s">
        <v>533</v>
      </c>
      <c r="O47" t="s">
        <v>477</v>
      </c>
      <c r="P47" t="s">
        <v>478</v>
      </c>
      <c r="Q47" t="s">
        <v>479</v>
      </c>
      <c r="R47" t="s">
        <v>480</v>
      </c>
      <c r="S47" t="s">
        <v>481</v>
      </c>
    </row>
    <row r="48" spans="2:20" x14ac:dyDescent="0.3">
      <c r="E48">
        <v>10.59</v>
      </c>
      <c r="F48" s="91">
        <v>120</v>
      </c>
      <c r="G48" s="91" t="s">
        <v>523</v>
      </c>
      <c r="H48">
        <v>13722</v>
      </c>
      <c r="I48" t="s">
        <v>524</v>
      </c>
      <c r="J48" t="s">
        <v>525</v>
      </c>
      <c r="K48" t="s">
        <v>526</v>
      </c>
      <c r="M48" t="s">
        <v>475</v>
      </c>
      <c r="N48" s="91">
        <v>15701</v>
      </c>
      <c r="O48" t="s">
        <v>477</v>
      </c>
      <c r="P48" t="s">
        <v>527</v>
      </c>
      <c r="Q48" t="s">
        <v>479</v>
      </c>
      <c r="R48" t="s">
        <v>480</v>
      </c>
      <c r="S48" t="s">
        <v>481</v>
      </c>
    </row>
  </sheetData>
  <phoneticPr fontId="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C93E3-DFB0-4114-9EB4-8B9BE1E64C2B}">
  <dimension ref="A1:AX617"/>
  <sheetViews>
    <sheetView zoomScale="80" zoomScaleNormal="80" workbookViewId="0">
      <pane xSplit="5" ySplit="6" topLeftCell="F511" activePane="bottomRight" state="frozen"/>
      <selection pane="topRight" activeCell="E1" sqref="E1"/>
      <selection pane="bottomLeft" activeCell="A7" sqref="A7"/>
      <selection pane="bottomRight" activeCell="E535" sqref="E535"/>
    </sheetView>
  </sheetViews>
  <sheetFormatPr defaultRowHeight="14.4" x14ac:dyDescent="0.3"/>
  <cols>
    <col min="1" max="1" width="12.88671875" style="5" customWidth="1"/>
    <col min="2" max="2" width="10.6640625" style="12" customWidth="1"/>
    <col min="3" max="3" width="7.6640625" bestFit="1" customWidth="1"/>
    <col min="4" max="4" width="10.6640625" customWidth="1"/>
    <col min="5" max="5" width="34.33203125" bestFit="1" customWidth="1"/>
    <col min="6" max="6" width="11.109375" customWidth="1"/>
    <col min="7" max="7" width="11.6640625" customWidth="1"/>
    <col min="8" max="8" width="10.88671875" customWidth="1"/>
    <col min="9" max="9" width="9.44140625" style="2" customWidth="1"/>
    <col min="10" max="10" width="9.88671875" style="1" customWidth="1"/>
    <col min="11" max="11" width="4.88671875" customWidth="1"/>
    <col min="12" max="12" width="8.33203125" style="2" bestFit="1" customWidth="1"/>
    <col min="13" max="13" width="6.88671875" style="2" bestFit="1" customWidth="1"/>
    <col min="14" max="14" width="9.44140625" style="1" customWidth="1"/>
    <col min="15" max="15" width="8.77734375" style="1" customWidth="1"/>
    <col min="16" max="16" width="5.5546875" style="3" customWidth="1"/>
    <col min="17" max="17" width="6.21875" style="4" customWidth="1"/>
    <col min="18" max="18" width="6.88671875" style="4" customWidth="1"/>
    <col min="19" max="19" width="14" style="4" bestFit="1" customWidth="1"/>
    <col min="20" max="20" width="14.33203125" style="4" customWidth="1"/>
    <col min="21" max="22" width="6" style="2" customWidth="1"/>
    <col min="23" max="23" width="10.33203125" style="3" bestFit="1" customWidth="1"/>
    <col min="24" max="24" width="8.6640625" style="3" bestFit="1" customWidth="1"/>
    <col min="25" max="25" width="8.6640625" style="3" customWidth="1"/>
    <col min="26" max="27" width="7.6640625" style="3" bestFit="1" customWidth="1"/>
    <col min="28" max="28" width="7.5546875" style="4" bestFit="1" customWidth="1"/>
    <col min="29" max="29" width="6.5546875" style="3" customWidth="1"/>
    <col min="30" max="31" width="5.5546875" style="3" customWidth="1"/>
    <col min="32" max="32" width="5.44140625" style="3" customWidth="1"/>
    <col min="33" max="33" width="5.5546875" style="3" customWidth="1"/>
    <col min="34" max="34" width="5.44140625" style="2" customWidth="1"/>
    <col min="35" max="35" width="5.88671875" style="2" customWidth="1"/>
    <col min="36" max="39" width="5.44140625" style="3" customWidth="1"/>
    <col min="40" max="42" width="8.5546875" style="1" bestFit="1" customWidth="1"/>
    <col min="43" max="44" width="8.109375" style="1" bestFit="1" customWidth="1"/>
    <col min="45" max="45" width="8.109375" style="1" customWidth="1"/>
    <col min="46" max="46" width="16.88671875" bestFit="1" customWidth="1"/>
    <col min="47" max="47" width="14.6640625" bestFit="1" customWidth="1"/>
    <col min="48" max="48" width="16.88671875" customWidth="1"/>
  </cols>
  <sheetData>
    <row r="1" spans="1:48" x14ac:dyDescent="0.3">
      <c r="A1" s="5" t="s">
        <v>103</v>
      </c>
    </row>
    <row r="2" spans="1:48" x14ac:dyDescent="0.3">
      <c r="A2" s="5" t="s">
        <v>105</v>
      </c>
    </row>
    <row r="3" spans="1:48" x14ac:dyDescent="0.3">
      <c r="W3" s="3" t="s">
        <v>137</v>
      </c>
      <c r="X3" s="3" t="s">
        <v>137</v>
      </c>
      <c r="Y3" s="3" t="s">
        <v>137</v>
      </c>
      <c r="Z3" s="3" t="s">
        <v>137</v>
      </c>
      <c r="AA3" s="3" t="s">
        <v>137</v>
      </c>
      <c r="AB3" s="4" t="s">
        <v>137</v>
      </c>
      <c r="AC3" s="3" t="s">
        <v>137</v>
      </c>
      <c r="AD3" s="3" t="s">
        <v>137</v>
      </c>
      <c r="AE3" s="3" t="s">
        <v>137</v>
      </c>
      <c r="AF3" s="3" t="s">
        <v>137</v>
      </c>
      <c r="AG3" s="3" t="s">
        <v>137</v>
      </c>
      <c r="AH3" s="2" t="s">
        <v>137</v>
      </c>
      <c r="AI3" s="2" t="s">
        <v>137</v>
      </c>
      <c r="AJ3" s="3" t="s">
        <v>137</v>
      </c>
    </row>
    <row r="4" spans="1:48" x14ac:dyDescent="0.3">
      <c r="A4" s="5" t="s">
        <v>0</v>
      </c>
      <c r="B4" s="12" t="s">
        <v>1</v>
      </c>
      <c r="C4" t="s">
        <v>208</v>
      </c>
      <c r="D4" t="s">
        <v>209</v>
      </c>
      <c r="E4" t="s">
        <v>3</v>
      </c>
      <c r="F4" t="s">
        <v>4</v>
      </c>
      <c r="G4" t="s">
        <v>5</v>
      </c>
      <c r="H4" t="s">
        <v>17</v>
      </c>
      <c r="I4" s="2" t="s">
        <v>110</v>
      </c>
      <c r="J4" s="1" t="s">
        <v>6</v>
      </c>
      <c r="K4" t="s">
        <v>91</v>
      </c>
      <c r="L4" s="2" t="s">
        <v>8</v>
      </c>
      <c r="M4" s="2" t="s">
        <v>118</v>
      </c>
      <c r="N4" s="1" t="s">
        <v>14</v>
      </c>
      <c r="O4" s="1" t="s">
        <v>119</v>
      </c>
      <c r="P4" s="3" t="s">
        <v>10</v>
      </c>
      <c r="Q4" s="4" t="s">
        <v>13</v>
      </c>
      <c r="R4" s="4" t="s">
        <v>120</v>
      </c>
      <c r="S4" s="4" t="s">
        <v>121</v>
      </c>
      <c r="T4" s="4" t="s">
        <v>122</v>
      </c>
      <c r="U4" s="2" t="s">
        <v>15</v>
      </c>
      <c r="V4" s="2" t="s">
        <v>15</v>
      </c>
      <c r="W4" s="3" t="s">
        <v>132</v>
      </c>
      <c r="X4" s="3" t="s">
        <v>133</v>
      </c>
      <c r="Y4" s="3" t="s">
        <v>380</v>
      </c>
      <c r="Z4" s="3" t="s">
        <v>124</v>
      </c>
      <c r="AA4" s="3" t="s">
        <v>125</v>
      </c>
      <c r="AB4" s="4" t="s">
        <v>126</v>
      </c>
      <c r="AC4" s="3" t="s">
        <v>127</v>
      </c>
      <c r="AD4" s="3" t="s">
        <v>128</v>
      </c>
      <c r="AE4" s="3" t="s">
        <v>129</v>
      </c>
      <c r="AF4" s="3" t="s">
        <v>130</v>
      </c>
      <c r="AG4" s="3" t="s">
        <v>131</v>
      </c>
      <c r="AH4" s="2" t="s">
        <v>134</v>
      </c>
      <c r="AI4" s="2" t="s">
        <v>135</v>
      </c>
      <c r="AJ4" s="3" t="s">
        <v>136</v>
      </c>
      <c r="AK4" s="3" t="s">
        <v>362</v>
      </c>
      <c r="AL4" s="3" t="s">
        <v>361</v>
      </c>
      <c r="AN4" s="1" t="s">
        <v>138</v>
      </c>
      <c r="AO4" s="1" t="s">
        <v>139</v>
      </c>
      <c r="AP4" s="1" t="s">
        <v>124</v>
      </c>
      <c r="AQ4" s="1" t="s">
        <v>125</v>
      </c>
      <c r="AR4" s="1" t="s">
        <v>126</v>
      </c>
      <c r="AS4" s="1" t="s">
        <v>364</v>
      </c>
      <c r="AT4" t="s">
        <v>97</v>
      </c>
      <c r="AU4" t="s">
        <v>114</v>
      </c>
      <c r="AV4" t="s">
        <v>116</v>
      </c>
    </row>
    <row r="5" spans="1:48" x14ac:dyDescent="0.3">
      <c r="I5" s="2" t="s">
        <v>111</v>
      </c>
      <c r="J5" s="1" t="s">
        <v>7</v>
      </c>
      <c r="N5" s="1" t="s">
        <v>9</v>
      </c>
      <c r="O5" s="1" t="s">
        <v>9</v>
      </c>
      <c r="P5" s="3" t="s">
        <v>11</v>
      </c>
      <c r="Q5" s="4" t="s">
        <v>123</v>
      </c>
      <c r="R5" s="4" t="s">
        <v>123</v>
      </c>
      <c r="S5" s="4" t="s">
        <v>123</v>
      </c>
      <c r="T5" s="4" t="s">
        <v>123</v>
      </c>
      <c r="U5" s="2" t="s">
        <v>12</v>
      </c>
      <c r="V5" s="2" t="s">
        <v>16</v>
      </c>
      <c r="W5" s="3" t="s">
        <v>12</v>
      </c>
      <c r="X5" s="3" t="s">
        <v>12</v>
      </c>
      <c r="Y5" s="3" t="s">
        <v>12</v>
      </c>
      <c r="Z5" s="3" t="s">
        <v>12</v>
      </c>
      <c r="AA5" s="3" t="s">
        <v>12</v>
      </c>
      <c r="AB5" s="4" t="s">
        <v>12</v>
      </c>
      <c r="AC5" s="3" t="s">
        <v>12</v>
      </c>
      <c r="AD5" s="3" t="s">
        <v>12</v>
      </c>
      <c r="AE5" s="3" t="s">
        <v>12</v>
      </c>
      <c r="AF5" s="3" t="s">
        <v>12</v>
      </c>
      <c r="AG5" s="3" t="s">
        <v>12</v>
      </c>
      <c r="AH5" s="2" t="s">
        <v>12</v>
      </c>
      <c r="AI5" s="2" t="s">
        <v>12</v>
      </c>
      <c r="AJ5" s="3" t="s">
        <v>12</v>
      </c>
      <c r="AK5" s="3" t="s">
        <v>12</v>
      </c>
      <c r="AL5" s="3" t="s">
        <v>12</v>
      </c>
      <c r="AN5" s="1" t="s">
        <v>140</v>
      </c>
      <c r="AO5" s="1" t="s">
        <v>140</v>
      </c>
      <c r="AP5" s="1" t="s">
        <v>140</v>
      </c>
      <c r="AQ5" s="1" t="s">
        <v>140</v>
      </c>
      <c r="AR5" s="1" t="s">
        <v>140</v>
      </c>
      <c r="AS5" s="1" t="s">
        <v>140</v>
      </c>
      <c r="AU5" t="s">
        <v>115</v>
      </c>
      <c r="AV5" t="s">
        <v>115</v>
      </c>
    </row>
    <row r="7" spans="1:48" x14ac:dyDescent="0.3">
      <c r="A7" s="5">
        <v>37408</v>
      </c>
      <c r="C7" t="s">
        <v>199</v>
      </c>
      <c r="E7" t="s">
        <v>113</v>
      </c>
      <c r="H7" t="s">
        <v>179</v>
      </c>
      <c r="J7" s="1">
        <v>557</v>
      </c>
      <c r="M7" s="2">
        <v>6.8</v>
      </c>
      <c r="R7" s="4">
        <v>38</v>
      </c>
      <c r="W7" s="3">
        <v>1.06</v>
      </c>
      <c r="Z7" s="3">
        <v>0.77</v>
      </c>
      <c r="AA7" s="3">
        <v>7.0000000000000007E-2</v>
      </c>
      <c r="AB7" s="4">
        <v>70</v>
      </c>
    </row>
    <row r="8" spans="1:48" x14ac:dyDescent="0.3">
      <c r="A8" s="5">
        <v>44845</v>
      </c>
      <c r="B8" s="12" t="s">
        <v>63</v>
      </c>
      <c r="C8" t="s">
        <v>64</v>
      </c>
      <c r="E8" t="s">
        <v>113</v>
      </c>
      <c r="F8" s="11">
        <v>40.714730000000003</v>
      </c>
      <c r="G8" s="11">
        <v>-78.924419999999998</v>
      </c>
      <c r="H8" t="s">
        <v>94</v>
      </c>
      <c r="I8" s="2">
        <v>12.89</v>
      </c>
      <c r="J8" s="1">
        <v>207.24950630590877</v>
      </c>
      <c r="K8" t="s">
        <v>106</v>
      </c>
      <c r="L8" s="2">
        <v>7.22</v>
      </c>
      <c r="M8" s="2">
        <v>7.1</v>
      </c>
      <c r="N8" s="1">
        <v>320</v>
      </c>
      <c r="O8" s="1">
        <v>156.6</v>
      </c>
      <c r="P8" s="3">
        <v>10.4</v>
      </c>
      <c r="Q8" s="4">
        <v>40</v>
      </c>
      <c r="R8" s="4">
        <v>50.2</v>
      </c>
      <c r="S8" s="4">
        <v>-37.200000000000003</v>
      </c>
      <c r="T8" s="4" cm="1">
        <f t="array" ref="T8">_xlfn.IFS(L8&lt;=5,IF(ISNUMBER(X8)=TRUE,X8*1.79+AA8*1.8+Z8*5.56+50000*(10^-L8)-Q8,1.79+AA8*1.8+Z8*5.56+50000*(10^-L8)-Q8),L8&gt;5,IF(ISNUMBER(X8)=TRUE,X8*1.79+AA8*1.8+50000*(10^-L8)-Q8,AA8*1.8+50000*(10^-L8)-Q8))</f>
        <v>-39.289767202069626</v>
      </c>
      <c r="W8" s="3">
        <v>0.22600000000000001</v>
      </c>
      <c r="X8" s="3">
        <v>0.19800000000000001</v>
      </c>
      <c r="Z8" s="52">
        <v>0.3</v>
      </c>
      <c r="AA8" s="3">
        <v>0.19600000000000001</v>
      </c>
      <c r="AB8" s="4">
        <v>16.649999999999999</v>
      </c>
      <c r="AC8" s="3">
        <v>18.510000000000002</v>
      </c>
      <c r="AD8" s="8">
        <v>5.0199999999999996</v>
      </c>
      <c r="AE8" s="8">
        <v>3.29</v>
      </c>
      <c r="AF8" s="3">
        <v>1.61</v>
      </c>
      <c r="AG8" s="3">
        <v>6.4</v>
      </c>
      <c r="AH8" s="2" t="s">
        <v>161</v>
      </c>
      <c r="AI8" s="2" t="s">
        <v>162</v>
      </c>
      <c r="AJ8" s="3" t="s">
        <v>159</v>
      </c>
      <c r="AN8" s="1">
        <f>S8*J8*0.012</f>
        <v>-92.516179614957693</v>
      </c>
      <c r="AO8" s="1">
        <f>W8*J8*0.012</f>
        <v>0.56206066110162467</v>
      </c>
      <c r="AP8" s="1">
        <f>Z8*J8*0.012</f>
        <v>0.74609822270127157</v>
      </c>
      <c r="AQ8" s="1">
        <f>AA8*J8*0.012</f>
        <v>0.48745083883149742</v>
      </c>
      <c r="AR8" s="1">
        <f>AB8*J8*0.012</f>
        <v>41.408451359920569</v>
      </c>
      <c r="AS8" s="1">
        <f t="shared" ref="AS8:AS64" si="0">0.012*R8*J8</f>
        <v>124.84710259867946</v>
      </c>
      <c r="AU8" s="13" t="str">
        <f>CONCATENATE(TEXT(ROUNDDOWN(ABS(F8),0),"00"),"° ",TEXT(ROUNDDOWN(ABS((F8-ROUNDDOWN(F8,0))*60),0),"00"),"' ",TEXT(TRUNC((ABS((F8-ROUNDDOWN(F8,0))*60)-ROUNDDOWN(ABS((F8-ROUNDDOWN(F8,0))*60),0))*60,2),"00.00"),"""",IF(F8&lt;0," S"," N"))</f>
        <v>40° 42' 53.02" N</v>
      </c>
      <c r="AV8" s="13" t="str">
        <f>CONCATENATE(TEXT(ROUNDDOWN(ABS(G8),0),"000"),"° ",TEXT(ROUNDDOWN(ABS((G8-ROUNDDOWN(G8,0))*60),0),"00"),"' ",TEXT(TRUNC((ABS((G8-ROUNDDOWN(G8,0))*60)-ROUNDDOWN(ABS((G8-ROUNDDOWN(G8,0))*60),0))*60,2),"00.00"),"""",IF(G8&lt;0," W"," E"))</f>
        <v>078° 55' 27.91" W</v>
      </c>
    </row>
    <row r="9" spans="1:48" x14ac:dyDescent="0.3">
      <c r="A9" s="5">
        <v>44903</v>
      </c>
      <c r="B9" s="12" t="s">
        <v>63</v>
      </c>
      <c r="C9" t="s">
        <v>64</v>
      </c>
      <c r="E9" t="s">
        <v>113</v>
      </c>
      <c r="F9" s="11">
        <v>40.714730000000003</v>
      </c>
      <c r="G9" s="11">
        <v>-78.924419999999998</v>
      </c>
      <c r="H9" t="s">
        <v>153</v>
      </c>
      <c r="I9" s="2">
        <v>12.89</v>
      </c>
      <c r="J9" s="1">
        <v>689.33991878690085</v>
      </c>
      <c r="K9" t="s">
        <v>106</v>
      </c>
      <c r="L9" s="2">
        <v>8.11</v>
      </c>
      <c r="M9" s="2">
        <v>7</v>
      </c>
      <c r="N9" s="1">
        <v>322</v>
      </c>
      <c r="O9" s="1">
        <v>150.30000000000001</v>
      </c>
      <c r="Q9" s="4">
        <v>30</v>
      </c>
      <c r="R9" s="4">
        <v>37.6</v>
      </c>
      <c r="S9" s="4">
        <v>-22.6</v>
      </c>
      <c r="T9" s="4" cm="1">
        <f t="array" ref="T9">_xlfn.IFS(L9&lt;=5,IF(ISNUMBER(X9)=TRUE,X9*1.79+AA9*1.8+Z9*5.56+50000*(10^-L9)-Q9,1.79+AA9*1.8+Z9*5.56+50000*(10^-L9)-Q9),L9&gt;5,IF(ISNUMBER(X9)=TRUE,X9*1.79+AA9*1.8+50000*(10^-L9)-Q9,AA9*1.8+50000*(10^-L9)-Q9))</f>
        <v>-29.927611876441684</v>
      </c>
      <c r="W9" s="3">
        <v>0.14699999999999999</v>
      </c>
      <c r="X9" s="3" t="s">
        <v>161</v>
      </c>
      <c r="Z9" s="52">
        <v>0.3</v>
      </c>
      <c r="AA9" s="3">
        <v>0.04</v>
      </c>
      <c r="AC9" s="3">
        <v>17</v>
      </c>
      <c r="AD9" s="8">
        <v>4.78</v>
      </c>
      <c r="AE9" s="8">
        <v>4.09</v>
      </c>
      <c r="AF9" s="3">
        <v>1.49</v>
      </c>
      <c r="AG9" s="3">
        <v>7.5</v>
      </c>
      <c r="AH9" s="2" t="s">
        <v>161</v>
      </c>
      <c r="AI9" s="2" t="s">
        <v>162</v>
      </c>
      <c r="AJ9" s="3" t="s">
        <v>159</v>
      </c>
      <c r="AN9" s="1">
        <f>S9*J9*0.012</f>
        <v>-186.94898597500753</v>
      </c>
      <c r="AO9" s="1">
        <f>W9*J9*0.012</f>
        <v>1.2159956167400932</v>
      </c>
      <c r="AP9" s="1">
        <f>Z9*J9*0.012</f>
        <v>2.4816237076328429</v>
      </c>
      <c r="AQ9" s="1">
        <f>AA9*J9*0.012</f>
        <v>0.33088316101771242</v>
      </c>
      <c r="AR9" s="1">
        <f>AB9*J9*0.012</f>
        <v>0</v>
      </c>
      <c r="AS9" s="1">
        <f t="shared" si="0"/>
        <v>311.0301713566497</v>
      </c>
      <c r="AU9" s="13"/>
      <c r="AV9" s="13"/>
    </row>
    <row r="10" spans="1:48" s="7" customFormat="1" x14ac:dyDescent="0.3">
      <c r="A10" s="45" t="s">
        <v>144</v>
      </c>
      <c r="B10" s="46"/>
      <c r="F10" s="47"/>
      <c r="G10" s="47"/>
      <c r="I10" s="15"/>
      <c r="J10" s="15">
        <f>AVERAGE(J8:J9)</f>
        <v>448.29471254640481</v>
      </c>
      <c r="K10" s="15" t="e">
        <f t="shared" ref="K10" si="1">AVERAGE(K8:K9)</f>
        <v>#DIV/0!</v>
      </c>
      <c r="L10" s="15">
        <f>AVERAGE(L8:L9)</f>
        <v>7.6649999999999991</v>
      </c>
      <c r="M10" s="15">
        <f t="shared" ref="M10:AJ10" si="2">AVERAGE(M8:M9)</f>
        <v>7.05</v>
      </c>
      <c r="N10" s="15">
        <f t="shared" si="2"/>
        <v>321</v>
      </c>
      <c r="O10" s="15">
        <f t="shared" si="2"/>
        <v>153.44999999999999</v>
      </c>
      <c r="P10" s="15"/>
      <c r="Q10" s="15">
        <f t="shared" si="2"/>
        <v>35</v>
      </c>
      <c r="R10" s="15">
        <f t="shared" si="2"/>
        <v>43.900000000000006</v>
      </c>
      <c r="S10" s="15">
        <f t="shared" si="2"/>
        <v>-29.900000000000002</v>
      </c>
      <c r="T10" s="15">
        <f t="shared" si="2"/>
        <v>-34.608689539255657</v>
      </c>
      <c r="U10" s="15"/>
      <c r="V10" s="15"/>
      <c r="W10" s="15">
        <f t="shared" si="2"/>
        <v>0.1865</v>
      </c>
      <c r="X10" s="15">
        <f t="shared" si="2"/>
        <v>0.19800000000000001</v>
      </c>
      <c r="Y10" s="15"/>
      <c r="Z10" s="15">
        <f t="shared" si="2"/>
        <v>0.3</v>
      </c>
      <c r="AA10" s="15">
        <f t="shared" si="2"/>
        <v>0.11800000000000001</v>
      </c>
      <c r="AB10" s="15">
        <f t="shared" si="2"/>
        <v>16.649999999999999</v>
      </c>
      <c r="AC10" s="15">
        <f t="shared" si="2"/>
        <v>17.755000000000003</v>
      </c>
      <c r="AD10" s="15">
        <f t="shared" si="2"/>
        <v>4.9000000000000004</v>
      </c>
      <c r="AE10" s="15">
        <f t="shared" si="2"/>
        <v>3.69</v>
      </c>
      <c r="AF10" s="15">
        <f t="shared" si="2"/>
        <v>1.55</v>
      </c>
      <c r="AG10" s="15">
        <f t="shared" si="2"/>
        <v>6.95</v>
      </c>
      <c r="AH10" s="15" t="e">
        <f t="shared" si="2"/>
        <v>#DIV/0!</v>
      </c>
      <c r="AI10" s="15" t="e">
        <f t="shared" si="2"/>
        <v>#DIV/0!</v>
      </c>
      <c r="AJ10" s="15" t="e">
        <f t="shared" si="2"/>
        <v>#DIV/0!</v>
      </c>
      <c r="AK10" s="15"/>
      <c r="AL10" s="15"/>
      <c r="AM10" s="32"/>
      <c r="AN10" s="20"/>
      <c r="AO10" s="20"/>
      <c r="AP10" s="20"/>
      <c r="AQ10" s="20"/>
      <c r="AR10" s="20"/>
      <c r="AS10" s="1"/>
      <c r="AU10" s="48"/>
      <c r="AV10" s="48"/>
    </row>
    <row r="11" spans="1:48" x14ac:dyDescent="0.3">
      <c r="F11" s="11"/>
      <c r="G11" s="11"/>
      <c r="AD11" s="8"/>
      <c r="AE11" s="8"/>
      <c r="AU11" s="13"/>
      <c r="AV11" s="13"/>
    </row>
    <row r="12" spans="1:48" x14ac:dyDescent="0.3">
      <c r="A12" s="5">
        <v>44846</v>
      </c>
      <c r="B12" s="12" t="s">
        <v>84</v>
      </c>
      <c r="C12" t="s">
        <v>38</v>
      </c>
      <c r="E12" t="s">
        <v>54</v>
      </c>
      <c r="F12" s="11">
        <v>40.709769999999999</v>
      </c>
      <c r="G12" s="11">
        <v>-78.92971</v>
      </c>
      <c r="H12" t="s">
        <v>93</v>
      </c>
      <c r="I12" s="2">
        <v>12.4</v>
      </c>
      <c r="J12" s="1">
        <v>5</v>
      </c>
      <c r="K12" t="s">
        <v>106</v>
      </c>
      <c r="L12" s="2">
        <v>6.76</v>
      </c>
      <c r="M12" s="2">
        <v>6.8</v>
      </c>
      <c r="N12" s="1">
        <v>85</v>
      </c>
      <c r="O12" s="1">
        <v>81</v>
      </c>
      <c r="P12" s="3">
        <v>10.5</v>
      </c>
      <c r="Q12" s="4">
        <v>24</v>
      </c>
      <c r="R12" s="18">
        <v>23</v>
      </c>
      <c r="S12" s="4">
        <v>-11.8</v>
      </c>
      <c r="T12" s="4" cm="1">
        <f t="array" ref="T12">_xlfn.IFS(L12&lt;=5,IF(ISNUMBER(X12)=TRUE,X12*1.79+AA12*1.8+Z12*5.56+50000*(10^-L12)-Q12,1.79+AA12*1.8+Z12*5.56+50000*(10^-L12)-Q12),L12&gt;5,IF(ISNUMBER(X12)=TRUE,X12*1.79+AA12*1.8+50000*(10^-L12)-Q12,AA12*1.8+50000*(10^-L12)-Q12))</f>
        <v>-23.806790995856254</v>
      </c>
      <c r="U12" s="2" t="s">
        <v>102</v>
      </c>
      <c r="V12" s="2" t="s">
        <v>102</v>
      </c>
      <c r="W12" s="3">
        <v>0.16700000000000001</v>
      </c>
      <c r="X12" s="3">
        <v>8.7999999999999995E-2</v>
      </c>
      <c r="Z12" s="52">
        <v>0.3</v>
      </c>
      <c r="AA12" s="3">
        <v>1.4999999999999999E-2</v>
      </c>
      <c r="AB12" s="4">
        <v>10.11</v>
      </c>
      <c r="AC12" s="3">
        <v>8.9</v>
      </c>
      <c r="AD12" s="8">
        <v>2.69</v>
      </c>
      <c r="AE12" s="8">
        <v>1.83</v>
      </c>
      <c r="AF12" s="3">
        <v>1.1499999999999999</v>
      </c>
      <c r="AG12" s="3">
        <v>4</v>
      </c>
      <c r="AH12" s="2" t="s">
        <v>161</v>
      </c>
      <c r="AI12" s="2" t="s">
        <v>162</v>
      </c>
      <c r="AJ12" s="3" t="s">
        <v>159</v>
      </c>
      <c r="AN12" s="1">
        <f>S12*J12*0.012</f>
        <v>-0.70799999999999996</v>
      </c>
      <c r="AO12" s="1">
        <f>W12*J12*0.012</f>
        <v>1.0020000000000001E-2</v>
      </c>
      <c r="AP12" s="1">
        <f>Z12*J12*0.012</f>
        <v>1.8000000000000002E-2</v>
      </c>
      <c r="AQ12" s="1">
        <f>AA12*J12*0.012</f>
        <v>8.9999999999999998E-4</v>
      </c>
      <c r="AR12" s="1">
        <f>AB12*J12*0.012</f>
        <v>0.60660000000000003</v>
      </c>
      <c r="AS12" s="1">
        <f t="shared" si="0"/>
        <v>1.3800000000000001</v>
      </c>
      <c r="AT12" t="s">
        <v>107</v>
      </c>
      <c r="AU12" s="13" t="str">
        <f>CONCATENATE(TEXT(ROUNDDOWN(ABS(F12),0),"00"),"° ",TEXT(ROUNDDOWN(ABS((F12-ROUNDDOWN(F12,0))*60),0),"00"),"' ",TEXT(TRUNC((ABS((F12-ROUNDDOWN(F12,0))*60)-ROUNDDOWN(ABS((F12-ROUNDDOWN(F12,0))*60),0))*60,2),"00.00"),"""",IF(F12&lt;0," S"," N"))</f>
        <v>40° 42' 35.17" N</v>
      </c>
      <c r="AV12" s="13" t="str">
        <f>CONCATENATE(TEXT(ROUNDDOWN(ABS(G12),0),"000"),"° ",TEXT(ROUNDDOWN(ABS((G12-ROUNDDOWN(G12,0))*60),0),"00"),"' ",TEXT(TRUNC((ABS((G12-ROUNDDOWN(G12,0))*60)-ROUNDDOWN(ABS((G12-ROUNDDOWN(G12,0))*60),0))*60,2),"00.00"),"""",IF(G12&lt;0," W"," E"))</f>
        <v>078° 55' 46.95" W</v>
      </c>
    </row>
    <row r="13" spans="1:48" x14ac:dyDescent="0.3">
      <c r="A13" s="5">
        <v>44903</v>
      </c>
      <c r="B13" s="12" t="s">
        <v>84</v>
      </c>
      <c r="C13" t="s">
        <v>38</v>
      </c>
      <c r="E13" t="s">
        <v>54</v>
      </c>
      <c r="F13" s="11">
        <v>40.709769999999999</v>
      </c>
      <c r="G13" s="11">
        <v>-78.92971</v>
      </c>
      <c r="H13" t="s">
        <v>93</v>
      </c>
      <c r="I13" s="2">
        <v>12.4</v>
      </c>
      <c r="J13" s="1">
        <v>60</v>
      </c>
      <c r="K13" t="s">
        <v>96</v>
      </c>
      <c r="L13" s="2">
        <v>7.35</v>
      </c>
      <c r="M13" s="2">
        <v>6.6</v>
      </c>
      <c r="N13" s="1">
        <v>92</v>
      </c>
      <c r="O13" s="1">
        <v>68.3</v>
      </c>
      <c r="Q13" s="4">
        <v>19</v>
      </c>
      <c r="R13" s="4">
        <v>22</v>
      </c>
      <c r="S13" s="4">
        <v>-6.8</v>
      </c>
      <c r="T13" s="4" cm="1">
        <f t="array" ref="T13">_xlfn.IFS(L13&lt;=5,IF(ISNUMBER(X13)=TRUE,X13*1.79+AA13*1.8+Z13*5.56+50000*(10^-L13)-Q13,1.79+AA13*1.8+Z13*5.56+50000*(10^-L13)-Q13),L13&gt;5,IF(ISNUMBER(X13)=TRUE,X13*1.79+AA13*1.8+50000*(10^-L13)-Q13,AA13*1.8+50000*(10^-L13)-Q13))</f>
        <v>-18.976166582039244</v>
      </c>
      <c r="W13" s="3">
        <v>0.1</v>
      </c>
      <c r="X13" s="3" t="s">
        <v>161</v>
      </c>
      <c r="Z13" s="52">
        <v>0.3</v>
      </c>
      <c r="AA13" s="3">
        <v>1.2E-2</v>
      </c>
      <c r="AC13" s="3">
        <v>7.76</v>
      </c>
      <c r="AD13" s="8">
        <v>2.31</v>
      </c>
      <c r="AE13" s="8">
        <v>1.55</v>
      </c>
      <c r="AF13" s="3">
        <v>1</v>
      </c>
      <c r="AG13" s="3">
        <v>4</v>
      </c>
      <c r="AH13" s="2" t="s">
        <v>161</v>
      </c>
      <c r="AI13" s="2" t="s">
        <v>162</v>
      </c>
      <c r="AJ13" s="3" t="s">
        <v>159</v>
      </c>
      <c r="AN13" s="1">
        <f>S13*J13*0.012</f>
        <v>-4.8959999999999999</v>
      </c>
      <c r="AO13" s="1">
        <f>W13*J13*0.012</f>
        <v>7.2000000000000008E-2</v>
      </c>
      <c r="AP13" s="1">
        <f>Z13*J13*0.012</f>
        <v>0.216</v>
      </c>
      <c r="AQ13" s="1">
        <f>AA13*J13*0.012</f>
        <v>8.6400000000000001E-3</v>
      </c>
      <c r="AR13" s="1">
        <f>AB13*J13*0.012</f>
        <v>0</v>
      </c>
      <c r="AS13" s="1">
        <f t="shared" si="0"/>
        <v>15.84</v>
      </c>
      <c r="AU13" s="13"/>
      <c r="AV13" s="13"/>
    </row>
    <row r="14" spans="1:48" s="7" customFormat="1" x14ac:dyDescent="0.3">
      <c r="A14" s="45" t="s">
        <v>144</v>
      </c>
      <c r="B14" s="46"/>
      <c r="F14" s="47"/>
      <c r="G14" s="47"/>
      <c r="I14" s="15"/>
      <c r="J14" s="15">
        <f t="shared" ref="J14:K14" si="3">AVERAGE(J12:J13)</f>
        <v>32.5</v>
      </c>
      <c r="K14" s="15" t="e">
        <f t="shared" si="3"/>
        <v>#DIV/0!</v>
      </c>
      <c r="L14" s="15">
        <f>AVERAGE(L12:L13)</f>
        <v>7.0549999999999997</v>
      </c>
      <c r="M14" s="15">
        <f t="shared" ref="M14:AS14" si="4">AVERAGE(M12:M13)</f>
        <v>6.6999999999999993</v>
      </c>
      <c r="N14" s="15">
        <f t="shared" si="4"/>
        <v>88.5</v>
      </c>
      <c r="O14" s="15">
        <f t="shared" si="4"/>
        <v>74.650000000000006</v>
      </c>
      <c r="P14" s="15"/>
      <c r="Q14" s="15">
        <f t="shared" si="4"/>
        <v>21.5</v>
      </c>
      <c r="R14" s="15">
        <f t="shared" si="4"/>
        <v>22.5</v>
      </c>
      <c r="S14" s="15">
        <f t="shared" si="4"/>
        <v>-9.3000000000000007</v>
      </c>
      <c r="T14" s="15">
        <f t="shared" si="4"/>
        <v>-21.391478788947751</v>
      </c>
      <c r="U14" s="15"/>
      <c r="V14" s="15"/>
      <c r="W14" s="15">
        <f t="shared" si="4"/>
        <v>0.13350000000000001</v>
      </c>
      <c r="X14" s="15">
        <f t="shared" si="4"/>
        <v>8.7999999999999995E-2</v>
      </c>
      <c r="Y14" s="15"/>
      <c r="Z14" s="15">
        <f t="shared" si="4"/>
        <v>0.3</v>
      </c>
      <c r="AA14" s="15">
        <f t="shared" si="4"/>
        <v>1.35E-2</v>
      </c>
      <c r="AB14" s="15">
        <f t="shared" si="4"/>
        <v>10.11</v>
      </c>
      <c r="AC14" s="15">
        <f t="shared" si="4"/>
        <v>8.33</v>
      </c>
      <c r="AD14" s="15">
        <f t="shared" si="4"/>
        <v>2.5</v>
      </c>
      <c r="AE14" s="15">
        <f t="shared" si="4"/>
        <v>1.69</v>
      </c>
      <c r="AF14" s="15">
        <f t="shared" si="4"/>
        <v>1.075</v>
      </c>
      <c r="AG14" s="15">
        <f t="shared" si="4"/>
        <v>4</v>
      </c>
      <c r="AH14" s="15" t="e">
        <f t="shared" si="4"/>
        <v>#DIV/0!</v>
      </c>
      <c r="AI14" s="15" t="e">
        <f t="shared" si="4"/>
        <v>#DIV/0!</v>
      </c>
      <c r="AJ14" s="15" t="e">
        <f t="shared" si="4"/>
        <v>#DIV/0!</v>
      </c>
      <c r="AK14" s="15"/>
      <c r="AL14" s="15"/>
      <c r="AM14" s="15"/>
      <c r="AN14" s="15">
        <f t="shared" si="4"/>
        <v>-2.802</v>
      </c>
      <c r="AO14" s="15">
        <f t="shared" si="4"/>
        <v>4.1010000000000005E-2</v>
      </c>
      <c r="AP14" s="15">
        <f t="shared" si="4"/>
        <v>0.11699999999999999</v>
      </c>
      <c r="AQ14" s="15">
        <f t="shared" si="4"/>
        <v>4.7699999999999999E-3</v>
      </c>
      <c r="AR14" s="15">
        <f t="shared" si="4"/>
        <v>0.30330000000000001</v>
      </c>
      <c r="AS14" s="15">
        <f t="shared" si="4"/>
        <v>8.61</v>
      </c>
      <c r="AU14" s="48"/>
      <c r="AV14" s="48"/>
    </row>
    <row r="15" spans="1:48" x14ac:dyDescent="0.3">
      <c r="F15" s="11"/>
      <c r="G15" s="11"/>
      <c r="AD15" s="8"/>
      <c r="AE15" s="8"/>
      <c r="AU15" s="13"/>
      <c r="AV15" s="13"/>
    </row>
    <row r="16" spans="1:48" x14ac:dyDescent="0.3">
      <c r="A16" s="5">
        <v>44846</v>
      </c>
      <c r="B16" s="12" t="s">
        <v>82</v>
      </c>
      <c r="C16" t="s">
        <v>83</v>
      </c>
      <c r="E16" t="s">
        <v>54</v>
      </c>
      <c r="F16" s="11">
        <v>40.712139999999998</v>
      </c>
      <c r="G16" s="11">
        <v>-78.939980000000006</v>
      </c>
      <c r="H16" t="s">
        <v>93</v>
      </c>
      <c r="I16" s="2">
        <v>11.76</v>
      </c>
      <c r="J16" s="9">
        <v>3</v>
      </c>
      <c r="K16" t="s">
        <v>96</v>
      </c>
      <c r="L16" s="2">
        <v>6.45</v>
      </c>
      <c r="M16" s="2">
        <v>6.8</v>
      </c>
      <c r="N16" s="1">
        <v>95</v>
      </c>
      <c r="O16" s="1">
        <v>81</v>
      </c>
      <c r="P16" s="3">
        <v>11.3</v>
      </c>
      <c r="Q16" s="4">
        <f>AVERAGE(35,34)</f>
        <v>34.5</v>
      </c>
      <c r="R16" s="4">
        <v>23</v>
      </c>
      <c r="S16" s="4">
        <v>-20.2</v>
      </c>
      <c r="T16" s="4" cm="1">
        <f t="array" ref="T16">_xlfn.IFS(L16&lt;=5,IF(ISNUMBER(X16)=TRUE,X16*1.79+AA16*1.8+Z16*5.56+50000*(10^-L16)-Q16,1.79+AA16*1.8+Z16*5.56+50000*(10^-L16)-Q16),L16&gt;5,IF(ISNUMBER(X16)=TRUE,X16*1.79+AA16*1.8+50000*(10^-L16)-Q16,AA16*1.8+50000*(10^-L16)-Q16))</f>
        <v>-34.29773933053832</v>
      </c>
      <c r="U16" s="2" t="s">
        <v>102</v>
      </c>
      <c r="V16" s="2" t="s">
        <v>102</v>
      </c>
      <c r="W16" s="3">
        <v>0.16700000000000001</v>
      </c>
      <c r="X16" s="3">
        <v>8.7999999999999995E-2</v>
      </c>
      <c r="Z16" s="52">
        <v>0.3</v>
      </c>
      <c r="AA16" s="3">
        <v>1.4999999999999999E-2</v>
      </c>
      <c r="AB16" s="4">
        <v>10.11</v>
      </c>
      <c r="AC16" s="3">
        <v>8.9130000000000003</v>
      </c>
      <c r="AD16" s="8">
        <v>2.69</v>
      </c>
      <c r="AE16" s="8">
        <v>1.83</v>
      </c>
      <c r="AF16" s="3">
        <v>1.1499999999999999</v>
      </c>
      <c r="AG16" s="3">
        <v>4</v>
      </c>
      <c r="AH16" s="2" t="s">
        <v>161</v>
      </c>
      <c r="AI16" s="2" t="s">
        <v>162</v>
      </c>
      <c r="AJ16" s="3" t="s">
        <v>159</v>
      </c>
      <c r="AN16" s="1">
        <f>S16*J16*0.012</f>
        <v>-0.72719999999999996</v>
      </c>
      <c r="AO16" s="1">
        <f>W16*J16*0.012</f>
        <v>6.012E-3</v>
      </c>
      <c r="AP16" s="1">
        <f>Z16*J16*0.012</f>
        <v>1.0799999999999999E-2</v>
      </c>
      <c r="AQ16" s="1">
        <f>AA16*J16*0.012</f>
        <v>5.4000000000000001E-4</v>
      </c>
      <c r="AR16" s="1">
        <f>AB16*J16*0.012</f>
        <v>0.36396000000000001</v>
      </c>
      <c r="AS16" s="1">
        <f t="shared" si="0"/>
        <v>0.82800000000000007</v>
      </c>
      <c r="AT16" t="s">
        <v>107</v>
      </c>
      <c r="AU16" s="13" t="str">
        <f>CONCATENATE(TEXT(ROUNDDOWN(ABS(F16),0),"00"),"° ",TEXT(ROUNDDOWN(ABS((F16-ROUNDDOWN(F16,0))*60),0),"00"),"' ",TEXT(TRUNC((ABS((F16-ROUNDDOWN(F16,0))*60)-ROUNDDOWN(ABS((F16-ROUNDDOWN(F16,0))*60),0))*60,2),"00.00"),"""",IF(F16&lt;0," S"," N"))</f>
        <v>40° 42' 43.70" N</v>
      </c>
      <c r="AV16" s="13" t="str">
        <f>CONCATENATE(TEXT(ROUNDDOWN(ABS(G16),0),"000"),"° ",TEXT(ROUNDDOWN(ABS((G16-ROUNDDOWN(G16,0))*60),0),"00"),"' ",TEXT(TRUNC((ABS((G16-ROUNDDOWN(G16,0))*60)-ROUNDDOWN(ABS((G16-ROUNDDOWN(G16,0))*60),0))*60,2),"00.00"),"""",IF(G16&lt;0," W"," E"))</f>
        <v>078° 56' 23.92" W</v>
      </c>
    </row>
    <row r="17" spans="1:48" x14ac:dyDescent="0.3">
      <c r="A17" s="5">
        <v>44903</v>
      </c>
      <c r="B17" s="12" t="s">
        <v>82</v>
      </c>
      <c r="C17" t="s">
        <v>83</v>
      </c>
      <c r="E17" t="s">
        <v>54</v>
      </c>
      <c r="F17" s="11">
        <v>40.712139999999998</v>
      </c>
      <c r="G17" s="11">
        <v>-78.939980000000006</v>
      </c>
      <c r="H17" t="s">
        <v>93</v>
      </c>
      <c r="I17" s="2">
        <v>11.76</v>
      </c>
      <c r="J17" s="9">
        <v>100</v>
      </c>
      <c r="K17" t="s">
        <v>106</v>
      </c>
      <c r="L17" s="2">
        <v>7.63</v>
      </c>
      <c r="M17" s="2">
        <v>6.8</v>
      </c>
      <c r="N17" s="1">
        <v>245</v>
      </c>
      <c r="O17" s="1">
        <v>224</v>
      </c>
      <c r="Q17" s="4">
        <v>36</v>
      </c>
      <c r="R17" s="4">
        <v>40.4</v>
      </c>
      <c r="S17" s="4">
        <v>-30</v>
      </c>
      <c r="T17" s="4" cm="1">
        <f t="array" ref="T17">_xlfn.IFS(L17&lt;=5,IF(ISNUMBER(X17)=TRUE,X17*1.79+AA17*1.8+Z17*5.56+50000*(10^-L17)-Q17,1.79+AA17*1.8+Z17*5.56+50000*(10^-L17)-Q17),L17&gt;5,IF(ISNUMBER(X17)=TRUE,X17*1.79+AA17*1.8+50000*(10^-L17)-Q17,AA17*1.8+50000*(10^-L17)-Q17))</f>
        <v>-35.934027885592343</v>
      </c>
      <c r="W17" s="3">
        <v>0.12</v>
      </c>
      <c r="X17" s="3" t="s">
        <v>161</v>
      </c>
      <c r="Z17" s="52">
        <v>0.3</v>
      </c>
      <c r="AA17" s="3">
        <v>3.5999999999999997E-2</v>
      </c>
      <c r="AC17" s="3">
        <v>25.82</v>
      </c>
      <c r="AD17" s="8">
        <v>7.15</v>
      </c>
      <c r="AE17" s="8">
        <v>5.44</v>
      </c>
      <c r="AF17" s="3">
        <v>1.62</v>
      </c>
      <c r="AG17" s="3">
        <v>4.5999999999999996</v>
      </c>
      <c r="AH17" s="2" t="s">
        <v>161</v>
      </c>
      <c r="AI17" s="2" t="s">
        <v>162</v>
      </c>
      <c r="AJ17" s="3" t="s">
        <v>159</v>
      </c>
      <c r="AN17" s="1">
        <f>S17*J17*0.012</f>
        <v>-36</v>
      </c>
      <c r="AO17" s="1">
        <f>W17*J17*0.012</f>
        <v>0.14400000000000002</v>
      </c>
      <c r="AP17" s="1">
        <f>Z17*J17*0.012</f>
        <v>0.36</v>
      </c>
      <c r="AQ17" s="1">
        <f>AA17*J17*0.012</f>
        <v>4.3199999999999995E-2</v>
      </c>
      <c r="AR17" s="1">
        <f>AB17*J17*0.012</f>
        <v>0</v>
      </c>
      <c r="AS17" s="1">
        <f t="shared" si="0"/>
        <v>48.480000000000004</v>
      </c>
      <c r="AU17" s="13"/>
      <c r="AV17" s="13"/>
    </row>
    <row r="18" spans="1:48" s="7" customFormat="1" x14ac:dyDescent="0.3">
      <c r="A18" s="45" t="s">
        <v>144</v>
      </c>
      <c r="B18" s="46"/>
      <c r="F18" s="47"/>
      <c r="G18" s="47"/>
      <c r="I18" s="15"/>
      <c r="J18" s="15">
        <f t="shared" ref="J18:K18" si="5">AVERAGE(J16:J17)</f>
        <v>51.5</v>
      </c>
      <c r="K18" s="15" t="e">
        <f t="shared" si="5"/>
        <v>#DIV/0!</v>
      </c>
      <c r="L18" s="15">
        <f>AVERAGE(L16:L17)</f>
        <v>7.04</v>
      </c>
      <c r="M18" s="15">
        <f t="shared" ref="M18:AS18" si="6">AVERAGE(M16:M17)</f>
        <v>6.8</v>
      </c>
      <c r="N18" s="15">
        <f t="shared" si="6"/>
        <v>170</v>
      </c>
      <c r="O18" s="15">
        <f t="shared" si="6"/>
        <v>152.5</v>
      </c>
      <c r="P18" s="15"/>
      <c r="Q18" s="15">
        <f t="shared" si="6"/>
        <v>35.25</v>
      </c>
      <c r="R18" s="15">
        <f t="shared" si="6"/>
        <v>31.7</v>
      </c>
      <c r="S18" s="15">
        <f t="shared" si="6"/>
        <v>-25.1</v>
      </c>
      <c r="T18" s="15">
        <f t="shared" si="6"/>
        <v>-35.115883608065332</v>
      </c>
      <c r="U18" s="15"/>
      <c r="V18" s="15"/>
      <c r="W18" s="15">
        <f t="shared" si="6"/>
        <v>0.14350000000000002</v>
      </c>
      <c r="X18" s="15">
        <f t="shared" si="6"/>
        <v>8.7999999999999995E-2</v>
      </c>
      <c r="Y18" s="15"/>
      <c r="Z18" s="15">
        <f t="shared" si="6"/>
        <v>0.3</v>
      </c>
      <c r="AA18" s="15">
        <f t="shared" si="6"/>
        <v>2.5499999999999998E-2</v>
      </c>
      <c r="AB18" s="15">
        <f t="shared" si="6"/>
        <v>10.11</v>
      </c>
      <c r="AC18" s="15">
        <f t="shared" si="6"/>
        <v>17.366500000000002</v>
      </c>
      <c r="AD18" s="15">
        <f t="shared" si="6"/>
        <v>4.92</v>
      </c>
      <c r="AE18" s="15">
        <f t="shared" si="6"/>
        <v>3.6350000000000002</v>
      </c>
      <c r="AF18" s="15">
        <f t="shared" si="6"/>
        <v>1.385</v>
      </c>
      <c r="AG18" s="15">
        <f t="shared" si="6"/>
        <v>4.3</v>
      </c>
      <c r="AH18" s="15" t="e">
        <f t="shared" si="6"/>
        <v>#DIV/0!</v>
      </c>
      <c r="AI18" s="15" t="e">
        <f t="shared" si="6"/>
        <v>#DIV/0!</v>
      </c>
      <c r="AJ18" s="15" t="e">
        <f t="shared" si="6"/>
        <v>#DIV/0!</v>
      </c>
      <c r="AK18" s="15"/>
      <c r="AL18" s="15"/>
      <c r="AM18" s="15"/>
      <c r="AN18" s="15">
        <f t="shared" si="6"/>
        <v>-18.363600000000002</v>
      </c>
      <c r="AO18" s="15">
        <f t="shared" si="6"/>
        <v>7.5006000000000003E-2</v>
      </c>
      <c r="AP18" s="15">
        <f t="shared" si="6"/>
        <v>0.18539999999999998</v>
      </c>
      <c r="AQ18" s="15">
        <f t="shared" si="6"/>
        <v>2.1869999999999997E-2</v>
      </c>
      <c r="AR18" s="15">
        <f t="shared" si="6"/>
        <v>0.18198</v>
      </c>
      <c r="AS18" s="15">
        <f t="shared" si="6"/>
        <v>24.654000000000003</v>
      </c>
      <c r="AU18" s="48"/>
      <c r="AV18" s="48"/>
    </row>
    <row r="19" spans="1:48" x14ac:dyDescent="0.3">
      <c r="F19" s="11"/>
      <c r="G19" s="11"/>
      <c r="J19" s="9"/>
      <c r="AD19" s="8"/>
      <c r="AE19" s="8"/>
      <c r="AU19" s="13"/>
      <c r="AV19" s="13"/>
    </row>
    <row r="20" spans="1:48" x14ac:dyDescent="0.3">
      <c r="A20" s="5">
        <v>44845</v>
      </c>
      <c r="B20" s="12" t="s">
        <v>60</v>
      </c>
      <c r="C20" t="s">
        <v>61</v>
      </c>
      <c r="E20" t="s">
        <v>62</v>
      </c>
      <c r="F20" s="11">
        <v>40.71125</v>
      </c>
      <c r="G20" s="11">
        <v>-78.943830000000005</v>
      </c>
      <c r="H20" t="s">
        <v>94</v>
      </c>
      <c r="I20" s="2">
        <v>11.6</v>
      </c>
      <c r="J20" s="9">
        <v>512.66983138830062</v>
      </c>
      <c r="K20" t="s">
        <v>106</v>
      </c>
      <c r="L20" s="2">
        <v>7.21</v>
      </c>
      <c r="M20" s="2">
        <v>7.4</v>
      </c>
      <c r="N20" s="1">
        <v>434</v>
      </c>
      <c r="O20" s="1">
        <v>443</v>
      </c>
      <c r="P20" s="3">
        <v>12</v>
      </c>
      <c r="Q20" s="4">
        <v>40</v>
      </c>
      <c r="R20" s="4">
        <v>78.2</v>
      </c>
      <c r="S20" s="4">
        <v>-67.400000000000006</v>
      </c>
      <c r="T20" s="4" cm="1">
        <f t="array" ref="T20">_xlfn.IFS(L20&lt;=5,IF(ISNUMBER(X20)=TRUE,X20*1.79+AA20*1.8+Z20*5.56+50000*(10^-L20)-Q20,1.79+AA20*1.8+Z20*5.56+50000*(10^-L20)-Q20),L20&gt;5,IF(ISNUMBER(X20)=TRUE,X20*1.79+AA20*1.8+50000*(10^-L20)-Q20,AA20*1.8+50000*(10^-L20)-Q20))</f>
        <v>-39.596227024990689</v>
      </c>
      <c r="W20" s="3">
        <v>0.17399999999999999</v>
      </c>
      <c r="X20" s="3">
        <v>7.0999999999999994E-2</v>
      </c>
      <c r="Z20" s="52">
        <v>0.3</v>
      </c>
      <c r="AA20" s="3">
        <v>0.152</v>
      </c>
      <c r="AB20" s="4">
        <v>136.66</v>
      </c>
      <c r="AC20" s="3">
        <v>53.81</v>
      </c>
      <c r="AD20" s="8">
        <v>13.85</v>
      </c>
      <c r="AE20" s="8">
        <v>14.23</v>
      </c>
      <c r="AF20" s="3">
        <v>1.95</v>
      </c>
      <c r="AG20" s="3">
        <v>8.8000000000000007</v>
      </c>
      <c r="AH20" s="2" t="s">
        <v>161</v>
      </c>
      <c r="AI20" s="2" t="s">
        <v>162</v>
      </c>
      <c r="AJ20" s="3" t="s">
        <v>159</v>
      </c>
      <c r="AN20" s="1">
        <f>S20*J20*0.012</f>
        <v>-414.64735962685756</v>
      </c>
      <c r="AO20" s="1">
        <f>W20*J20*0.012</f>
        <v>1.0704546079387716</v>
      </c>
      <c r="AP20" s="1">
        <f>Z20*J20*0.012</f>
        <v>1.8456113929978821</v>
      </c>
      <c r="AQ20" s="1">
        <f>AA20*J20*0.012</f>
        <v>0.93510977245226024</v>
      </c>
      <c r="AR20" s="1">
        <f>AB20*J20*0.012</f>
        <v>840.73750989030191</v>
      </c>
      <c r="AS20" s="1">
        <f t="shared" si="0"/>
        <v>481.08936977478129</v>
      </c>
      <c r="AU20" s="13" t="str">
        <f>CONCATENATE(TEXT(ROUNDDOWN(ABS(F20),0),"00"),"° ",TEXT(ROUNDDOWN(ABS((F20-ROUNDDOWN(F20,0))*60),0),"00"),"' ",TEXT(TRUNC((ABS((F20-ROUNDDOWN(F20,0))*60)-ROUNDDOWN(ABS((F20-ROUNDDOWN(F20,0))*60),0))*60,2),"00.00"),"""",IF(F20&lt;0," S"," N"))</f>
        <v>40° 42' 40.49" N</v>
      </c>
      <c r="AV20" s="13" t="str">
        <f>CONCATENATE(TEXT(ROUNDDOWN(ABS(G20),0),"000"),"° ",TEXT(ROUNDDOWN(ABS((G20-ROUNDDOWN(G20,0))*60),0),"00"),"' ",TEXT(TRUNC((ABS((G20-ROUNDDOWN(G20,0))*60)-ROUNDDOWN(ABS((G20-ROUNDDOWN(G20,0))*60),0))*60,2),"00.00"),"""",IF(G20&lt;0," W"," E"))</f>
        <v>078° 56' 37.78" W</v>
      </c>
    </row>
    <row r="21" spans="1:48" x14ac:dyDescent="0.3">
      <c r="A21" s="5">
        <v>44903</v>
      </c>
      <c r="B21" s="12" t="s">
        <v>60</v>
      </c>
      <c r="C21" t="s">
        <v>61</v>
      </c>
      <c r="E21" t="s">
        <v>62</v>
      </c>
      <c r="F21" s="11">
        <v>40.71125</v>
      </c>
      <c r="G21" s="11">
        <v>-78.943830000000005</v>
      </c>
      <c r="H21" t="s">
        <v>153</v>
      </c>
      <c r="I21" s="2">
        <v>11.6</v>
      </c>
      <c r="J21" s="9">
        <v>1705.2092727886493</v>
      </c>
      <c r="K21" t="s">
        <v>106</v>
      </c>
      <c r="L21" s="2">
        <v>7.34</v>
      </c>
      <c r="M21" s="2">
        <v>7.2</v>
      </c>
      <c r="N21" s="1">
        <v>318</v>
      </c>
      <c r="O21" s="1">
        <v>316</v>
      </c>
      <c r="Q21" s="4">
        <v>35</v>
      </c>
      <c r="R21" s="4">
        <v>59.4</v>
      </c>
      <c r="S21" s="4">
        <v>-42.4</v>
      </c>
      <c r="T21" s="4" cm="1">
        <f t="array" ref="T21">_xlfn.IFS(L21&lt;=5,IF(ISNUMBER(X21)=TRUE,X21*1.79+AA21*1.8+Z21*5.56+50000*(10^-L21)-Q21,1.79+AA21*1.8+Z21*5.56+50000*(10^-L21)-Q21),L21&gt;5,IF(ISNUMBER(X21)=TRUE,X21*1.79+AA21*1.8+50000*(10^-L21)-Q21,AA21*1.8+50000*(10^-L21)-Q21))</f>
        <v>-34.687064559051926</v>
      </c>
      <c r="W21" s="3">
        <v>0.252</v>
      </c>
      <c r="X21" s="3">
        <v>7.4999999999999997E-2</v>
      </c>
      <c r="Z21" s="52">
        <v>0.3</v>
      </c>
      <c r="AA21" s="3">
        <v>9.8000000000000004E-2</v>
      </c>
      <c r="AC21" s="3">
        <v>37.86</v>
      </c>
      <c r="AD21" s="8">
        <v>9.83</v>
      </c>
      <c r="AE21" s="8">
        <v>9.67</v>
      </c>
      <c r="AF21" s="3">
        <v>1.72</v>
      </c>
      <c r="AG21" s="3">
        <v>7.9</v>
      </c>
      <c r="AH21" s="2" t="s">
        <v>161</v>
      </c>
      <c r="AI21" s="2" t="s">
        <v>162</v>
      </c>
      <c r="AJ21" s="3" t="s">
        <v>159</v>
      </c>
      <c r="AN21" s="1">
        <f>S21*J21*0.012</f>
        <v>-867.61047799486482</v>
      </c>
      <c r="AO21" s="1">
        <f>W21*J21*0.012</f>
        <v>5.1565528409128758</v>
      </c>
      <c r="AP21" s="1">
        <f>Z21*J21*0.012</f>
        <v>6.1387533820391376</v>
      </c>
      <c r="AQ21" s="1">
        <f>AA21*J21*0.012</f>
        <v>2.0053261047994519</v>
      </c>
      <c r="AR21" s="1">
        <f>AB21*J21*0.012</f>
        <v>0</v>
      </c>
      <c r="AS21" s="1">
        <f t="shared" si="0"/>
        <v>1215.4731696437491</v>
      </c>
      <c r="AU21" s="13"/>
      <c r="AV21" s="13"/>
    </row>
    <row r="22" spans="1:48" s="7" customFormat="1" x14ac:dyDescent="0.3">
      <c r="A22" s="45" t="s">
        <v>144</v>
      </c>
      <c r="B22" s="46"/>
      <c r="F22" s="47"/>
      <c r="G22" s="47"/>
      <c r="I22" s="15"/>
      <c r="J22" s="15">
        <f t="shared" ref="J22:K22" si="7">AVERAGE(J20:J21)</f>
        <v>1108.939552088475</v>
      </c>
      <c r="K22" s="15" t="e">
        <f t="shared" si="7"/>
        <v>#DIV/0!</v>
      </c>
      <c r="L22" s="15">
        <f>AVERAGE(L20:L21)</f>
        <v>7.2750000000000004</v>
      </c>
      <c r="M22" s="15">
        <f t="shared" ref="M22:AS22" si="8">AVERAGE(M20:M21)</f>
        <v>7.3000000000000007</v>
      </c>
      <c r="N22" s="15">
        <f t="shared" si="8"/>
        <v>376</v>
      </c>
      <c r="O22" s="15">
        <f t="shared" si="8"/>
        <v>379.5</v>
      </c>
      <c r="P22" s="15"/>
      <c r="Q22" s="15">
        <f t="shared" si="8"/>
        <v>37.5</v>
      </c>
      <c r="R22" s="15">
        <f t="shared" si="8"/>
        <v>68.8</v>
      </c>
      <c r="S22" s="15">
        <f t="shared" si="8"/>
        <v>-54.900000000000006</v>
      </c>
      <c r="T22" s="15">
        <f t="shared" si="8"/>
        <v>-37.141645792021308</v>
      </c>
      <c r="U22" s="15"/>
      <c r="V22" s="15"/>
      <c r="W22" s="15">
        <f t="shared" si="8"/>
        <v>0.21299999999999999</v>
      </c>
      <c r="X22" s="15">
        <f t="shared" si="8"/>
        <v>7.2999999999999995E-2</v>
      </c>
      <c r="Y22" s="15"/>
      <c r="Z22" s="15">
        <f t="shared" si="8"/>
        <v>0.3</v>
      </c>
      <c r="AA22" s="15">
        <f t="shared" si="8"/>
        <v>0.125</v>
      </c>
      <c r="AB22" s="15">
        <f t="shared" si="8"/>
        <v>136.66</v>
      </c>
      <c r="AC22" s="15">
        <f t="shared" si="8"/>
        <v>45.835000000000001</v>
      </c>
      <c r="AD22" s="15">
        <f t="shared" si="8"/>
        <v>11.84</v>
      </c>
      <c r="AE22" s="15">
        <f t="shared" si="8"/>
        <v>11.95</v>
      </c>
      <c r="AF22" s="15">
        <f t="shared" si="8"/>
        <v>1.835</v>
      </c>
      <c r="AG22" s="15">
        <f t="shared" si="8"/>
        <v>8.3500000000000014</v>
      </c>
      <c r="AH22" s="15" t="e">
        <f t="shared" si="8"/>
        <v>#DIV/0!</v>
      </c>
      <c r="AI22" s="15" t="e">
        <f t="shared" si="8"/>
        <v>#DIV/0!</v>
      </c>
      <c r="AJ22" s="15" t="e">
        <f t="shared" si="8"/>
        <v>#DIV/0!</v>
      </c>
      <c r="AK22" s="15"/>
      <c r="AL22" s="15"/>
      <c r="AM22" s="15"/>
      <c r="AN22" s="15">
        <f t="shared" si="8"/>
        <v>-641.12891881086125</v>
      </c>
      <c r="AO22" s="15">
        <f t="shared" si="8"/>
        <v>3.1135037244258239</v>
      </c>
      <c r="AP22" s="15">
        <f t="shared" si="8"/>
        <v>3.9921823875185098</v>
      </c>
      <c r="AQ22" s="15">
        <f t="shared" si="8"/>
        <v>1.470217938625856</v>
      </c>
      <c r="AR22" s="15">
        <f t="shared" si="8"/>
        <v>420.36875494515095</v>
      </c>
      <c r="AS22" s="15">
        <f t="shared" si="8"/>
        <v>848.28126970926519</v>
      </c>
      <c r="AU22" s="48"/>
      <c r="AV22" s="48"/>
    </row>
    <row r="23" spans="1:48" x14ac:dyDescent="0.3">
      <c r="F23" s="11"/>
      <c r="G23" s="11"/>
      <c r="J23" s="9"/>
      <c r="AD23" s="8"/>
      <c r="AE23" s="8"/>
      <c r="AU23" s="13"/>
      <c r="AV23" s="13"/>
    </row>
    <row r="24" spans="1:48" x14ac:dyDescent="0.3">
      <c r="A24" s="5">
        <v>37408</v>
      </c>
      <c r="C24" t="s">
        <v>198</v>
      </c>
      <c r="E24" t="s">
        <v>54</v>
      </c>
      <c r="F24" s="11"/>
      <c r="G24" s="11"/>
      <c r="H24" t="s">
        <v>179</v>
      </c>
      <c r="J24" s="9"/>
      <c r="M24" s="2">
        <v>4.8</v>
      </c>
      <c r="R24" s="4">
        <v>2</v>
      </c>
      <c r="W24" s="3">
        <v>0.19</v>
      </c>
      <c r="Z24" s="3">
        <v>3.22</v>
      </c>
      <c r="AA24" s="3">
        <v>0.43</v>
      </c>
      <c r="AB24" s="4">
        <v>293</v>
      </c>
      <c r="AD24" s="8"/>
      <c r="AE24" s="8"/>
      <c r="AU24" s="13"/>
      <c r="AV24" s="13"/>
    </row>
    <row r="25" spans="1:48" x14ac:dyDescent="0.3">
      <c r="A25" s="5">
        <v>44845</v>
      </c>
      <c r="B25" s="12" t="s">
        <v>58</v>
      </c>
      <c r="C25" t="s">
        <v>59</v>
      </c>
      <c r="E25" t="s">
        <v>54</v>
      </c>
      <c r="F25" s="11">
        <v>40.711689999999997</v>
      </c>
      <c r="G25" s="11">
        <v>-78.944609999999997</v>
      </c>
      <c r="H25" t="s">
        <v>94</v>
      </c>
      <c r="I25" s="2">
        <v>11.53</v>
      </c>
      <c r="J25" s="9">
        <v>109.07868752942565</v>
      </c>
      <c r="K25" t="s">
        <v>106</v>
      </c>
      <c r="L25" s="2">
        <v>7.35</v>
      </c>
      <c r="M25" s="2">
        <v>6.8</v>
      </c>
      <c r="N25" s="1">
        <v>507</v>
      </c>
      <c r="O25" s="1">
        <v>556</v>
      </c>
      <c r="P25" s="3">
        <v>11.9</v>
      </c>
      <c r="Q25" s="4">
        <v>20</v>
      </c>
      <c r="R25" s="4">
        <v>27.6</v>
      </c>
      <c r="S25" s="4">
        <v>-11.4</v>
      </c>
      <c r="T25" s="4" cm="1">
        <f t="array" ref="T25">_xlfn.IFS(L25&lt;=5,IF(ISNUMBER(X25)=TRUE,X25*1.79+AA25*1.8+Z25*5.56+50000*(10^-L25)-Q25,1.79+AA25*1.8+Z25*5.56+50000*(10^-L25)-Q25),L25&gt;5,IF(ISNUMBER(X25)=TRUE,X25*1.79+AA25*1.8+50000*(10^-L25)-Q25,AA25*1.8+50000*(10^-L25)-Q25))</f>
        <v>-19.794366582039245</v>
      </c>
      <c r="W25" s="3">
        <v>0.1</v>
      </c>
      <c r="X25" s="3" t="s">
        <v>161</v>
      </c>
      <c r="Z25" s="52">
        <v>0.3</v>
      </c>
      <c r="AA25" s="3">
        <v>0.113</v>
      </c>
      <c r="AB25" s="4">
        <v>252.33</v>
      </c>
      <c r="AC25" s="3">
        <v>75.37</v>
      </c>
      <c r="AD25" s="8">
        <v>20.58</v>
      </c>
      <c r="AE25" s="8">
        <v>6.17</v>
      </c>
      <c r="AF25" s="3">
        <v>2.02</v>
      </c>
      <c r="AG25" s="3">
        <v>8.5</v>
      </c>
      <c r="AH25" s="2" t="s">
        <v>161</v>
      </c>
      <c r="AI25" s="2" t="s">
        <v>162</v>
      </c>
      <c r="AJ25" s="3" t="s">
        <v>159</v>
      </c>
      <c r="AN25" s="1">
        <f>S25*J25*0.012</f>
        <v>-14.921964454025428</v>
      </c>
      <c r="AO25" s="1">
        <f>W25*J25*0.012</f>
        <v>0.13089442503531079</v>
      </c>
      <c r="AP25" s="1">
        <f>Z25*J25*0.012</f>
        <v>0.39268327510593232</v>
      </c>
      <c r="AQ25" s="1">
        <f>AA25*J25*0.012</f>
        <v>0.14791070028990119</v>
      </c>
      <c r="AR25" s="1">
        <f>AB25*J25*0.012</f>
        <v>330.28590269159974</v>
      </c>
      <c r="AS25" s="1">
        <f t="shared" si="0"/>
        <v>36.126861309745777</v>
      </c>
      <c r="AU25" s="13" t="str">
        <f>CONCATENATE(TEXT(ROUNDDOWN(ABS(F25),0),"00"),"° ",TEXT(ROUNDDOWN(ABS((F25-ROUNDDOWN(F25,0))*60),0),"00"),"' ",TEXT(TRUNC((ABS((F25-ROUNDDOWN(F25,0))*60)-ROUNDDOWN(ABS((F25-ROUNDDOWN(F25,0))*60),0))*60,2),"00.00"),"""",IF(F25&lt;0," S"," N"))</f>
        <v>40° 42' 42.08" N</v>
      </c>
      <c r="AV25" s="13" t="str">
        <f>CONCATENATE(TEXT(ROUNDDOWN(ABS(G25),0),"000"),"° ",TEXT(ROUNDDOWN(ABS((G25-ROUNDDOWN(G25,0))*60),0),"00"),"' ",TEXT(TRUNC((ABS((G25-ROUNDDOWN(G25,0))*60)-ROUNDDOWN(ABS((G25-ROUNDDOWN(G25,0))*60),0))*60,2),"00.00"),"""",IF(G25&lt;0," W"," E"))</f>
        <v>078° 56' 40.59" W</v>
      </c>
    </row>
    <row r="26" spans="1:48" x14ac:dyDescent="0.3">
      <c r="A26" s="5">
        <v>44903</v>
      </c>
      <c r="B26" s="12" t="s">
        <v>58</v>
      </c>
      <c r="C26" t="s">
        <v>59</v>
      </c>
      <c r="E26" t="s">
        <v>54</v>
      </c>
      <c r="F26" s="11">
        <v>40.711689999999997</v>
      </c>
      <c r="G26" s="11">
        <v>-78.944609999999997</v>
      </c>
      <c r="H26" t="s">
        <v>153</v>
      </c>
      <c r="I26" s="2">
        <v>11.53</v>
      </c>
      <c r="J26" s="9" t="s">
        <v>102</v>
      </c>
      <c r="L26" s="2">
        <v>7.55</v>
      </c>
      <c r="M26" s="2">
        <v>6.9</v>
      </c>
      <c r="N26" s="1">
        <v>448</v>
      </c>
      <c r="O26" s="1">
        <v>466</v>
      </c>
      <c r="Q26" s="4">
        <v>25</v>
      </c>
      <c r="R26" s="4">
        <v>28.4</v>
      </c>
      <c r="S26" s="4">
        <v>-15.4</v>
      </c>
      <c r="T26" s="4" cm="1">
        <f t="array" ref="T26">_xlfn.IFS(L26&lt;=5,IF(ISNUMBER(X26)=TRUE,X26*1.79+AA26*1.8+Z26*5.56+50000*(10^-L26)-Q26,1.79+AA26*1.8+Z26*5.56+50000*(10^-L26)-Q26),L26&gt;5,IF(ISNUMBER(X26)=TRUE,X26*1.79+AA26*1.8+50000*(10^-L26)-Q26,AA26*1.8+50000*(10^-L26)-Q26))</f>
        <v>-24.742990808534369</v>
      </c>
      <c r="W26" s="3">
        <v>0.107</v>
      </c>
      <c r="X26" s="3" t="s">
        <v>157</v>
      </c>
      <c r="Z26" s="52">
        <v>0.3</v>
      </c>
      <c r="AA26" s="3">
        <v>0.14199999999999999</v>
      </c>
      <c r="AC26" s="3">
        <v>58.9</v>
      </c>
      <c r="AD26" s="8">
        <v>15.98</v>
      </c>
      <c r="AE26" s="8">
        <v>8.8800000000000008</v>
      </c>
      <c r="AF26" s="3">
        <v>1.82</v>
      </c>
      <c r="AG26" s="3">
        <v>13.4</v>
      </c>
      <c r="AH26" s="2" t="s">
        <v>161</v>
      </c>
      <c r="AI26" s="2" t="s">
        <v>162</v>
      </c>
      <c r="AJ26" s="3" t="s">
        <v>159</v>
      </c>
      <c r="AU26" s="13"/>
      <c r="AV26" s="13"/>
    </row>
    <row r="27" spans="1:48" s="7" customFormat="1" x14ac:dyDescent="0.3">
      <c r="A27" s="45" t="s">
        <v>144</v>
      </c>
      <c r="B27" s="46"/>
      <c r="F27" s="47"/>
      <c r="G27" s="47"/>
      <c r="I27" s="15"/>
      <c r="J27" s="15">
        <f t="shared" ref="J27:K27" si="9">AVERAGE(J25:J26)</f>
        <v>109.07868752942565</v>
      </c>
      <c r="K27" s="15" t="e">
        <f t="shared" si="9"/>
        <v>#DIV/0!</v>
      </c>
      <c r="L27" s="15">
        <f>AVERAGE(L25:L26)</f>
        <v>7.4499999999999993</v>
      </c>
      <c r="M27" s="15">
        <f t="shared" ref="M27:AS27" si="10">AVERAGE(M25:M26)</f>
        <v>6.85</v>
      </c>
      <c r="N27" s="15">
        <f t="shared" si="10"/>
        <v>477.5</v>
      </c>
      <c r="O27" s="15">
        <f t="shared" si="10"/>
        <v>511</v>
      </c>
      <c r="P27" s="15"/>
      <c r="Q27" s="15">
        <f t="shared" si="10"/>
        <v>22.5</v>
      </c>
      <c r="R27" s="15">
        <f t="shared" si="10"/>
        <v>28</v>
      </c>
      <c r="S27" s="15">
        <f t="shared" si="10"/>
        <v>-13.4</v>
      </c>
      <c r="T27" s="15">
        <f t="shared" si="10"/>
        <v>-22.268678695286809</v>
      </c>
      <c r="U27" s="15"/>
      <c r="V27" s="15"/>
      <c r="W27" s="15">
        <f t="shared" si="10"/>
        <v>0.10350000000000001</v>
      </c>
      <c r="X27" s="15" t="e">
        <f t="shared" si="10"/>
        <v>#DIV/0!</v>
      </c>
      <c r="Y27" s="15"/>
      <c r="Z27" s="15">
        <f t="shared" si="10"/>
        <v>0.3</v>
      </c>
      <c r="AA27" s="15">
        <f t="shared" si="10"/>
        <v>0.1275</v>
      </c>
      <c r="AB27" s="15">
        <f t="shared" si="10"/>
        <v>252.33</v>
      </c>
      <c r="AC27" s="15">
        <f t="shared" si="10"/>
        <v>67.135000000000005</v>
      </c>
      <c r="AD27" s="15">
        <f t="shared" si="10"/>
        <v>18.28</v>
      </c>
      <c r="AE27" s="15">
        <f t="shared" si="10"/>
        <v>7.5250000000000004</v>
      </c>
      <c r="AF27" s="15">
        <f t="shared" si="10"/>
        <v>1.92</v>
      </c>
      <c r="AG27" s="15">
        <f t="shared" si="10"/>
        <v>10.95</v>
      </c>
      <c r="AH27" s="15" t="e">
        <f t="shared" si="10"/>
        <v>#DIV/0!</v>
      </c>
      <c r="AI27" s="15" t="e">
        <f t="shared" si="10"/>
        <v>#DIV/0!</v>
      </c>
      <c r="AJ27" s="15" t="e">
        <f t="shared" si="10"/>
        <v>#DIV/0!</v>
      </c>
      <c r="AK27" s="15"/>
      <c r="AL27" s="15"/>
      <c r="AM27" s="15"/>
      <c r="AN27" s="15">
        <f t="shared" si="10"/>
        <v>-14.921964454025428</v>
      </c>
      <c r="AO27" s="15">
        <f t="shared" si="10"/>
        <v>0.13089442503531079</v>
      </c>
      <c r="AP27" s="15">
        <f t="shared" si="10"/>
        <v>0.39268327510593232</v>
      </c>
      <c r="AQ27" s="15">
        <f t="shared" si="10"/>
        <v>0.14791070028990119</v>
      </c>
      <c r="AR27" s="15">
        <f t="shared" si="10"/>
        <v>330.28590269159974</v>
      </c>
      <c r="AS27" s="15">
        <f t="shared" si="10"/>
        <v>36.126861309745777</v>
      </c>
      <c r="AU27" s="48"/>
      <c r="AV27" s="48"/>
    </row>
    <row r="28" spans="1:48" x14ac:dyDescent="0.3">
      <c r="F28" s="11"/>
      <c r="G28" s="11"/>
      <c r="J28" s="9"/>
      <c r="AD28" s="8"/>
      <c r="AE28" s="8"/>
      <c r="AU28" s="13"/>
      <c r="AV28" s="13"/>
    </row>
    <row r="29" spans="1:48" x14ac:dyDescent="0.3">
      <c r="A29" s="5">
        <v>44845</v>
      </c>
      <c r="B29" s="12" t="s">
        <v>55</v>
      </c>
      <c r="C29" t="s">
        <v>56</v>
      </c>
      <c r="E29" t="s">
        <v>57</v>
      </c>
      <c r="F29" s="11">
        <v>40.707120000000003</v>
      </c>
      <c r="G29" s="11">
        <v>-78.955690000000004</v>
      </c>
      <c r="H29" t="s">
        <v>94</v>
      </c>
      <c r="I29" s="2">
        <v>10.9</v>
      </c>
      <c r="J29" s="9">
        <v>737.06027430597635</v>
      </c>
      <c r="K29" t="s">
        <v>106</v>
      </c>
      <c r="L29" s="2">
        <v>7.64</v>
      </c>
      <c r="M29" s="2">
        <v>7.5</v>
      </c>
      <c r="N29" s="1">
        <v>414</v>
      </c>
      <c r="O29" s="1">
        <v>453</v>
      </c>
      <c r="P29" s="3">
        <v>15.2</v>
      </c>
      <c r="Q29" s="4">
        <v>60</v>
      </c>
      <c r="R29" s="4">
        <v>71.8</v>
      </c>
      <c r="S29" s="4">
        <v>-63.4</v>
      </c>
      <c r="T29" s="4" cm="1">
        <f t="array" ref="T29">_xlfn.IFS(L29&lt;=5,IF(ISNUMBER(X29)=TRUE,X29*1.79+AA29*1.8+Z29*5.56+50000*(10^-L29)-Q29,1.79+AA29*1.8+Z29*5.56+50000*(10^-L29)-Q29),L29&gt;5,IF(ISNUMBER(X29)=TRUE,X29*1.79+AA29*1.8+50000*(10^-L29)-Q29,AA29*1.8+50000*(10^-L29)-Q29))</f>
        <v>-59.467144566173616</v>
      </c>
      <c r="W29" s="3">
        <v>0.7</v>
      </c>
      <c r="X29" s="3">
        <v>0.109</v>
      </c>
      <c r="Z29" s="52">
        <v>0.3</v>
      </c>
      <c r="AA29" s="3">
        <v>0.187</v>
      </c>
      <c r="AB29" s="4">
        <v>147.28</v>
      </c>
      <c r="AC29" s="3">
        <v>54.99</v>
      </c>
      <c r="AD29" s="8">
        <v>14.3</v>
      </c>
      <c r="AE29" s="8">
        <v>12.72</v>
      </c>
      <c r="AF29" s="3">
        <v>1.98</v>
      </c>
      <c r="AG29" s="3">
        <v>9.5</v>
      </c>
      <c r="AH29" s="2" t="s">
        <v>161</v>
      </c>
      <c r="AI29" s="2" t="s">
        <v>162</v>
      </c>
      <c r="AJ29" s="3" t="s">
        <v>159</v>
      </c>
      <c r="AN29" s="1">
        <f>S29*J29*0.012</f>
        <v>-560.75545669198686</v>
      </c>
      <c r="AO29" s="1">
        <f>W29*J29*0.012</f>
        <v>6.191306304170201</v>
      </c>
      <c r="AP29" s="1">
        <f>Z29*J29*0.012</f>
        <v>2.6534169875015148</v>
      </c>
      <c r="AQ29" s="1">
        <f>AA29*J29*0.012</f>
        <v>1.6539632555426111</v>
      </c>
      <c r="AR29" s="1">
        <f>AB29*J29*0.012</f>
        <v>1302.6508463974103</v>
      </c>
      <c r="AS29" s="1">
        <f t="shared" si="0"/>
        <v>635.05113234202929</v>
      </c>
      <c r="AU29" s="13" t="str">
        <f>CONCATENATE(TEXT(ROUNDDOWN(ABS(F29),0),"00"),"° ",TEXT(ROUNDDOWN(ABS((F29-ROUNDDOWN(F29,0))*60),0),"00"),"' ",TEXT(TRUNC((ABS((F29-ROUNDDOWN(F29,0))*60)-ROUNDDOWN(ABS((F29-ROUNDDOWN(F29,0))*60),0))*60,2),"00.00"),"""",IF(F29&lt;0," S"," N"))</f>
        <v>40° 42' 25.63" N</v>
      </c>
      <c r="AV29" s="13" t="str">
        <f>CONCATENATE(TEXT(ROUNDDOWN(ABS(G29),0),"000"),"° ",TEXT(ROUNDDOWN(ABS((G29-ROUNDDOWN(G29,0))*60),0),"00"),"' ",TEXT(TRUNC((ABS((G29-ROUNDDOWN(G29,0))*60)-ROUNDDOWN(ABS((G29-ROUNDDOWN(G29,0))*60),0))*60,2),"00.00"),"""",IF(G29&lt;0," W"," E"))</f>
        <v>078° 57' 20.48" W</v>
      </c>
    </row>
    <row r="30" spans="1:48" x14ac:dyDescent="0.3">
      <c r="A30" s="5">
        <v>44903</v>
      </c>
      <c r="B30" s="12" t="s">
        <v>55</v>
      </c>
      <c r="C30" t="s">
        <v>56</v>
      </c>
      <c r="E30" t="s">
        <v>57</v>
      </c>
      <c r="F30" s="11">
        <v>40.707120000000003</v>
      </c>
      <c r="G30" s="11">
        <v>-78.955690000000004</v>
      </c>
      <c r="H30" t="s">
        <v>153</v>
      </c>
      <c r="I30" s="2">
        <v>10.9</v>
      </c>
      <c r="J30" s="9">
        <v>2451.5622675654445</v>
      </c>
      <c r="K30" t="s">
        <v>106</v>
      </c>
      <c r="L30" s="2">
        <v>7.59</v>
      </c>
      <c r="M30" s="2">
        <v>7.3</v>
      </c>
      <c r="N30" s="1">
        <v>326</v>
      </c>
      <c r="O30" s="1">
        <v>329</v>
      </c>
      <c r="Q30" s="4">
        <v>35</v>
      </c>
      <c r="R30" s="4">
        <v>57.8</v>
      </c>
      <c r="S30" s="4">
        <v>-44.2</v>
      </c>
      <c r="T30" s="4" cm="1">
        <f t="array" ref="T30">_xlfn.IFS(L30&lt;=5,IF(ISNUMBER(X30)=TRUE,X30*1.79+AA30*1.8+Z30*5.56+50000*(10^-L30)-Q30,1.79+AA30*1.8+Z30*5.56+50000*(10^-L30)-Q30),L30&gt;5,IF(ISNUMBER(X30)=TRUE,X30*1.79+AA30*1.8+50000*(10^-L30)-Q30,AA30*1.8+50000*(10^-L30)-Q30))</f>
        <v>-34.670054802108616</v>
      </c>
      <c r="W30" s="3">
        <v>0.27800000000000002</v>
      </c>
      <c r="X30" s="3">
        <v>7.3999999999999996E-2</v>
      </c>
      <c r="Z30" s="52">
        <v>0.3</v>
      </c>
      <c r="AA30" s="3">
        <v>0.109</v>
      </c>
      <c r="AC30" s="3">
        <v>39.340000000000003</v>
      </c>
      <c r="AD30" s="8">
        <v>10.130000000000001</v>
      </c>
      <c r="AE30" s="8">
        <v>9.5</v>
      </c>
      <c r="AF30" s="3">
        <v>1.69</v>
      </c>
      <c r="AG30" s="3">
        <v>8.8000000000000007</v>
      </c>
      <c r="AH30" s="2" t="s">
        <v>161</v>
      </c>
      <c r="AI30" s="2" t="s">
        <v>162</v>
      </c>
      <c r="AJ30" s="3" t="s">
        <v>159</v>
      </c>
      <c r="AN30" s="1">
        <f>S30*J30*0.012</f>
        <v>-1300.3086267167118</v>
      </c>
      <c r="AO30" s="1">
        <f>W30*J30*0.012</f>
        <v>8.1784117245983232</v>
      </c>
      <c r="AP30" s="1">
        <f>Z30*J30*0.012</f>
        <v>8.8256241632356005</v>
      </c>
      <c r="AQ30" s="1">
        <f>AA30*J30*0.012</f>
        <v>3.206643445975601</v>
      </c>
      <c r="AR30" s="1">
        <f>AB30*J30*0.012</f>
        <v>0</v>
      </c>
      <c r="AS30" s="1">
        <f t="shared" si="0"/>
        <v>1700.4035887833923</v>
      </c>
      <c r="AU30" s="13"/>
      <c r="AV30" s="13"/>
    </row>
    <row r="31" spans="1:48" s="7" customFormat="1" x14ac:dyDescent="0.3">
      <c r="A31" s="45" t="s">
        <v>144</v>
      </c>
      <c r="B31" s="46"/>
      <c r="F31" s="47"/>
      <c r="G31" s="47"/>
      <c r="I31" s="15"/>
      <c r="J31" s="15">
        <f t="shared" ref="J31:K31" si="11">AVERAGE(J29:J30)</f>
        <v>1594.3112709357104</v>
      </c>
      <c r="K31" s="15" t="e">
        <f t="shared" si="11"/>
        <v>#DIV/0!</v>
      </c>
      <c r="L31" s="15">
        <f>AVERAGE(L29:L30)</f>
        <v>7.6150000000000002</v>
      </c>
      <c r="M31" s="15">
        <f t="shared" ref="M31:AS31" si="12">AVERAGE(M29:M30)</f>
        <v>7.4</v>
      </c>
      <c r="N31" s="15">
        <f t="shared" si="12"/>
        <v>370</v>
      </c>
      <c r="O31" s="15">
        <f t="shared" si="12"/>
        <v>391</v>
      </c>
      <c r="P31" s="15"/>
      <c r="Q31" s="15">
        <f t="shared" si="12"/>
        <v>47.5</v>
      </c>
      <c r="R31" s="15">
        <f t="shared" si="12"/>
        <v>64.8</v>
      </c>
      <c r="S31" s="15">
        <f t="shared" si="12"/>
        <v>-53.8</v>
      </c>
      <c r="T31" s="15">
        <f t="shared" si="12"/>
        <v>-47.06859968414112</v>
      </c>
      <c r="U31" s="15"/>
      <c r="V31" s="15"/>
      <c r="W31" s="15">
        <f t="shared" si="12"/>
        <v>0.48899999999999999</v>
      </c>
      <c r="X31" s="15">
        <f t="shared" si="12"/>
        <v>9.1499999999999998E-2</v>
      </c>
      <c r="Y31" s="15"/>
      <c r="Z31" s="15">
        <f t="shared" si="12"/>
        <v>0.3</v>
      </c>
      <c r="AA31" s="15">
        <f t="shared" si="12"/>
        <v>0.14799999999999999</v>
      </c>
      <c r="AB31" s="15">
        <f t="shared" si="12"/>
        <v>147.28</v>
      </c>
      <c r="AC31" s="15">
        <f t="shared" si="12"/>
        <v>47.165000000000006</v>
      </c>
      <c r="AD31" s="15">
        <f t="shared" si="12"/>
        <v>12.215</v>
      </c>
      <c r="AE31" s="15">
        <f t="shared" si="12"/>
        <v>11.11</v>
      </c>
      <c r="AF31" s="15">
        <f t="shared" si="12"/>
        <v>1.835</v>
      </c>
      <c r="AG31" s="15">
        <f t="shared" si="12"/>
        <v>9.15</v>
      </c>
      <c r="AH31" s="15" t="e">
        <f t="shared" si="12"/>
        <v>#DIV/0!</v>
      </c>
      <c r="AI31" s="15" t="e">
        <f t="shared" si="12"/>
        <v>#DIV/0!</v>
      </c>
      <c r="AJ31" s="15" t="e">
        <f t="shared" si="12"/>
        <v>#DIV/0!</v>
      </c>
      <c r="AK31" s="15"/>
      <c r="AL31" s="15"/>
      <c r="AM31" s="15"/>
      <c r="AN31" s="15">
        <f t="shared" si="12"/>
        <v>-930.53204170434935</v>
      </c>
      <c r="AO31" s="15">
        <f t="shared" si="12"/>
        <v>7.1848590143842621</v>
      </c>
      <c r="AP31" s="15">
        <f t="shared" si="12"/>
        <v>5.7395205753685579</v>
      </c>
      <c r="AQ31" s="15">
        <f t="shared" si="12"/>
        <v>2.4303033507591061</v>
      </c>
      <c r="AR31" s="15">
        <f t="shared" si="12"/>
        <v>651.32542319870515</v>
      </c>
      <c r="AS31" s="15">
        <f t="shared" si="12"/>
        <v>1167.7273605627108</v>
      </c>
      <c r="AU31" s="48"/>
      <c r="AV31" s="48"/>
    </row>
    <row r="32" spans="1:48" x14ac:dyDescent="0.3">
      <c r="F32" s="11"/>
      <c r="G32" s="11"/>
      <c r="J32" s="9"/>
      <c r="AD32" s="8"/>
      <c r="AE32" s="8"/>
      <c r="AU32" s="13"/>
      <c r="AV32" s="13"/>
    </row>
    <row r="33" spans="1:48" x14ac:dyDescent="0.3">
      <c r="A33" s="5">
        <v>37408</v>
      </c>
      <c r="C33" t="s">
        <v>197</v>
      </c>
      <c r="F33" s="11"/>
      <c r="G33" s="11"/>
      <c r="H33" t="s">
        <v>179</v>
      </c>
      <c r="J33" s="9"/>
      <c r="M33" s="2">
        <v>6.9</v>
      </c>
      <c r="R33" s="4">
        <v>19.600000000000001</v>
      </c>
      <c r="W33" s="3">
        <v>0.05</v>
      </c>
      <c r="Z33" s="3">
        <v>0.13</v>
      </c>
      <c r="AA33" s="3">
        <v>0.02</v>
      </c>
      <c r="AB33" s="4">
        <v>45</v>
      </c>
      <c r="AD33" s="8"/>
      <c r="AE33" s="8"/>
      <c r="AU33" s="13"/>
      <c r="AV33" s="13"/>
    </row>
    <row r="34" spans="1:48" x14ac:dyDescent="0.3">
      <c r="A34" s="5">
        <v>44845</v>
      </c>
      <c r="B34" s="12" t="s">
        <v>52</v>
      </c>
      <c r="C34" t="s">
        <v>53</v>
      </c>
      <c r="E34" t="s">
        <v>54</v>
      </c>
      <c r="F34" s="11">
        <v>40.707320000000003</v>
      </c>
      <c r="G34" s="11">
        <v>-78.957380000000001</v>
      </c>
      <c r="H34" t="s">
        <v>94</v>
      </c>
      <c r="I34" s="2">
        <v>10.85</v>
      </c>
      <c r="J34" s="9">
        <v>373.98407152945941</v>
      </c>
      <c r="K34" t="s">
        <v>106</v>
      </c>
      <c r="L34" s="2">
        <v>7.93</v>
      </c>
      <c r="M34" s="2">
        <v>7.3</v>
      </c>
      <c r="N34" s="1">
        <v>224</v>
      </c>
      <c r="O34" s="1">
        <v>240</v>
      </c>
      <c r="P34" s="3">
        <v>16.3</v>
      </c>
      <c r="Q34" s="4">
        <v>46</v>
      </c>
      <c r="R34" s="4">
        <v>52.6</v>
      </c>
      <c r="S34" s="4">
        <v>-41.4</v>
      </c>
      <c r="T34" s="4" cm="1">
        <f t="array" ref="T34">_xlfn.IFS(L34&lt;=5,IF(ISNUMBER(X34)=TRUE,X34*1.79+AA34*1.8+Z34*5.56+50000*(10^-L34)-Q34,1.79+AA34*1.8+Z34*5.56+50000*(10^-L34)-Q34),L34&gt;5,IF(ISNUMBER(X34)=TRUE,X34*1.79+AA34*1.8+50000*(10^-L34)-Q34,AA34*1.8+50000*(10^-L34)-Q34))</f>
        <v>-45.972412551222533</v>
      </c>
      <c r="W34" s="3">
        <v>0.10100000000000001</v>
      </c>
      <c r="X34" s="3" t="s">
        <v>161</v>
      </c>
      <c r="Z34" s="52">
        <v>0.3</v>
      </c>
      <c r="AA34" s="3">
        <v>1.4999999999999999E-2</v>
      </c>
      <c r="AB34" s="4">
        <v>41.96</v>
      </c>
      <c r="AC34" s="3">
        <v>26.35</v>
      </c>
      <c r="AD34" s="8">
        <v>8</v>
      </c>
      <c r="AE34" s="8">
        <v>7.17</v>
      </c>
      <c r="AF34" s="3">
        <v>2.0499999999999998</v>
      </c>
      <c r="AG34" s="3">
        <v>12</v>
      </c>
      <c r="AH34" s="2" t="s">
        <v>161</v>
      </c>
      <c r="AI34" s="2" t="s">
        <v>162</v>
      </c>
      <c r="AJ34" s="3" t="s">
        <v>159</v>
      </c>
      <c r="AN34" s="1">
        <f>S34*J34*0.012</f>
        <v>-185.79528673583545</v>
      </c>
      <c r="AO34" s="1">
        <f>W34*J34*0.012</f>
        <v>0.4532686946937049</v>
      </c>
      <c r="AP34" s="1">
        <f>Z34*J34*0.012</f>
        <v>1.346342657506054</v>
      </c>
      <c r="AQ34" s="1">
        <f>AA34*J34*0.012</f>
        <v>6.7317132875302693E-2</v>
      </c>
      <c r="AR34" s="1">
        <f>AB34*J34*0.012</f>
        <v>188.30845969651341</v>
      </c>
      <c r="AS34" s="1">
        <f t="shared" si="0"/>
        <v>236.05874594939476</v>
      </c>
      <c r="AU34" s="13" t="str">
        <f>CONCATENATE(TEXT(ROUNDDOWN(ABS(F34),0),"00"),"° ",TEXT(ROUNDDOWN(ABS((F34-ROUNDDOWN(F34,0))*60),0),"00"),"' ",TEXT(TRUNC((ABS((F34-ROUNDDOWN(F34,0))*60)-ROUNDDOWN(ABS((F34-ROUNDDOWN(F34,0))*60),0))*60,2),"00.00"),"""",IF(F34&lt;0," S"," N"))</f>
        <v>40° 42' 26.35" N</v>
      </c>
      <c r="AV34" s="13" t="str">
        <f>CONCATENATE(TEXT(ROUNDDOWN(ABS(G34),0),"000"),"° ",TEXT(ROUNDDOWN(ABS((G34-ROUNDDOWN(G34,0))*60),0),"00"),"' ",TEXT(TRUNC((ABS((G34-ROUNDDOWN(G34,0))*60)-ROUNDDOWN(ABS((G34-ROUNDDOWN(G34,0))*60),0))*60,2),"00.00"),"""",IF(G34&lt;0," W"," E"))</f>
        <v>078° 57' 26.56" W</v>
      </c>
    </row>
    <row r="35" spans="1:48" x14ac:dyDescent="0.3">
      <c r="A35" s="5">
        <v>44903</v>
      </c>
      <c r="B35" s="12" t="s">
        <v>52</v>
      </c>
      <c r="C35" t="s">
        <v>53</v>
      </c>
      <c r="E35" t="s">
        <v>54</v>
      </c>
      <c r="F35" s="11">
        <v>40.707320000000003</v>
      </c>
      <c r="G35" s="11">
        <v>-78.957380000000001</v>
      </c>
      <c r="H35" t="s">
        <v>153</v>
      </c>
      <c r="I35" s="2">
        <v>10.85</v>
      </c>
      <c r="J35" s="9" t="s">
        <v>102</v>
      </c>
      <c r="L35" s="2">
        <v>7.94</v>
      </c>
      <c r="M35" s="2">
        <v>7</v>
      </c>
      <c r="N35" s="1">
        <v>187</v>
      </c>
      <c r="O35" s="1">
        <v>151.19999999999999</v>
      </c>
      <c r="Q35" s="4">
        <v>25</v>
      </c>
      <c r="R35" s="4">
        <v>33.4</v>
      </c>
      <c r="S35" s="4">
        <v>-19.600000000000001</v>
      </c>
      <c r="T35" s="4" cm="1">
        <f t="array" ref="T35">_xlfn.IFS(L35&lt;=5,IF(ISNUMBER(X35)=TRUE,X35*1.79+AA35*1.8+Z35*5.56+50000*(10^-L35)-Q35,1.79+AA35*1.8+Z35*5.56+50000*(10^-L35)-Q35),L35&gt;5,IF(ISNUMBER(X35)=TRUE,X35*1.79+AA35*1.8+50000*(10^-L35)-Q35,AA35*1.8+50000*(10^-L35)-Q35))</f>
        <v>-24.86504592318925</v>
      </c>
      <c r="W35" s="3">
        <v>0.127</v>
      </c>
      <c r="X35" s="3">
        <v>6.2E-2</v>
      </c>
      <c r="Z35" s="52">
        <v>0.3</v>
      </c>
      <c r="AA35" s="3">
        <v>1.2999999999999999E-2</v>
      </c>
      <c r="AC35" s="3">
        <v>15.44</v>
      </c>
      <c r="AD35" s="8">
        <v>4.9000000000000004</v>
      </c>
      <c r="AE35" s="8">
        <v>5.18</v>
      </c>
      <c r="AF35" s="3">
        <v>1.67</v>
      </c>
      <c r="AG35" s="3">
        <v>8.1</v>
      </c>
      <c r="AH35" s="2" t="s">
        <v>161</v>
      </c>
      <c r="AI35" s="2" t="s">
        <v>162</v>
      </c>
      <c r="AJ35" s="3" t="s">
        <v>159</v>
      </c>
      <c r="AU35" s="13"/>
      <c r="AV35" s="13"/>
    </row>
    <row r="36" spans="1:48" s="7" customFormat="1" x14ac:dyDescent="0.3">
      <c r="A36" s="45" t="s">
        <v>144</v>
      </c>
      <c r="B36" s="46"/>
      <c r="F36" s="47"/>
      <c r="G36" s="47"/>
      <c r="I36" s="15"/>
      <c r="J36" s="15">
        <f t="shared" ref="J36:K36" si="13">AVERAGE(J34:J35)</f>
        <v>373.98407152945941</v>
      </c>
      <c r="K36" s="15" t="e">
        <f t="shared" si="13"/>
        <v>#DIV/0!</v>
      </c>
      <c r="L36" s="15">
        <f>AVERAGE(L34:L35)</f>
        <v>7.9350000000000005</v>
      </c>
      <c r="M36" s="15">
        <f t="shared" ref="M36:AS36" si="14">AVERAGE(M34:M35)</f>
        <v>7.15</v>
      </c>
      <c r="N36" s="15">
        <f t="shared" si="14"/>
        <v>205.5</v>
      </c>
      <c r="O36" s="15">
        <f t="shared" si="14"/>
        <v>195.6</v>
      </c>
      <c r="P36" s="15"/>
      <c r="Q36" s="15">
        <f t="shared" si="14"/>
        <v>35.5</v>
      </c>
      <c r="R36" s="15">
        <f t="shared" si="14"/>
        <v>43</v>
      </c>
      <c r="S36" s="15">
        <f t="shared" si="14"/>
        <v>-30.5</v>
      </c>
      <c r="T36" s="15">
        <f t="shared" si="14"/>
        <v>-35.418729237205895</v>
      </c>
      <c r="U36" s="15"/>
      <c r="V36" s="15"/>
      <c r="W36" s="15">
        <f t="shared" si="14"/>
        <v>0.114</v>
      </c>
      <c r="X36" s="15">
        <f t="shared" si="14"/>
        <v>6.2E-2</v>
      </c>
      <c r="Y36" s="15"/>
      <c r="Z36" s="15">
        <f t="shared" si="14"/>
        <v>0.3</v>
      </c>
      <c r="AA36" s="15">
        <f t="shared" si="14"/>
        <v>1.3999999999999999E-2</v>
      </c>
      <c r="AB36" s="15">
        <f t="shared" si="14"/>
        <v>41.96</v>
      </c>
      <c r="AC36" s="15">
        <f t="shared" si="14"/>
        <v>20.895</v>
      </c>
      <c r="AD36" s="15">
        <f t="shared" si="14"/>
        <v>6.45</v>
      </c>
      <c r="AE36" s="15">
        <f t="shared" si="14"/>
        <v>6.1749999999999998</v>
      </c>
      <c r="AF36" s="15">
        <f t="shared" si="14"/>
        <v>1.8599999999999999</v>
      </c>
      <c r="AG36" s="15">
        <f t="shared" si="14"/>
        <v>10.050000000000001</v>
      </c>
      <c r="AH36" s="15" t="e">
        <f t="shared" si="14"/>
        <v>#DIV/0!</v>
      </c>
      <c r="AI36" s="15" t="e">
        <f t="shared" si="14"/>
        <v>#DIV/0!</v>
      </c>
      <c r="AJ36" s="15" t="e">
        <f t="shared" si="14"/>
        <v>#DIV/0!</v>
      </c>
      <c r="AK36" s="15"/>
      <c r="AL36" s="15"/>
      <c r="AM36" s="15"/>
      <c r="AN36" s="15">
        <f t="shared" si="14"/>
        <v>-185.79528673583545</v>
      </c>
      <c r="AO36" s="15">
        <f t="shared" si="14"/>
        <v>0.4532686946937049</v>
      </c>
      <c r="AP36" s="15">
        <f t="shared" si="14"/>
        <v>1.346342657506054</v>
      </c>
      <c r="AQ36" s="15">
        <f t="shared" si="14"/>
        <v>6.7317132875302693E-2</v>
      </c>
      <c r="AR36" s="15">
        <f t="shared" si="14"/>
        <v>188.30845969651341</v>
      </c>
      <c r="AS36" s="15">
        <f t="shared" si="14"/>
        <v>236.05874594939476</v>
      </c>
      <c r="AU36" s="48"/>
      <c r="AV36" s="48"/>
    </row>
    <row r="37" spans="1:48" x14ac:dyDescent="0.3">
      <c r="F37" s="11"/>
      <c r="G37" s="11"/>
      <c r="J37" s="14"/>
      <c r="AD37" s="8"/>
      <c r="AE37" s="8"/>
      <c r="AU37" s="13"/>
      <c r="AV37" s="13"/>
    </row>
    <row r="38" spans="1:48" x14ac:dyDescent="0.3">
      <c r="A38" s="5">
        <v>37408</v>
      </c>
      <c r="C38" t="s">
        <v>196</v>
      </c>
      <c r="E38" t="s">
        <v>81</v>
      </c>
      <c r="F38" s="11"/>
      <c r="G38" s="11"/>
      <c r="H38" t="s">
        <v>179</v>
      </c>
      <c r="J38" s="14"/>
      <c r="M38" s="2">
        <v>7.04</v>
      </c>
      <c r="R38" s="4">
        <v>23.6</v>
      </c>
      <c r="W38" s="3">
        <v>0.11</v>
      </c>
      <c r="Z38" s="3">
        <v>0.11</v>
      </c>
      <c r="AA38" s="3">
        <v>0.02</v>
      </c>
      <c r="AB38" s="4">
        <v>28</v>
      </c>
      <c r="AD38" s="8"/>
      <c r="AE38" s="8"/>
      <c r="AU38" s="13"/>
      <c r="AV38" s="13"/>
    </row>
    <row r="39" spans="1:48" x14ac:dyDescent="0.3">
      <c r="A39" s="5">
        <v>44846</v>
      </c>
      <c r="B39" s="12" t="s">
        <v>79</v>
      </c>
      <c r="C39" t="s">
        <v>80</v>
      </c>
      <c r="E39" t="s">
        <v>81</v>
      </c>
      <c r="F39" s="11">
        <v>40.699280000000002</v>
      </c>
      <c r="G39" s="11">
        <v>-78.95729</v>
      </c>
      <c r="H39" t="s">
        <v>95</v>
      </c>
      <c r="I39" s="2">
        <v>10.26</v>
      </c>
      <c r="J39" s="1">
        <v>60</v>
      </c>
      <c r="K39" t="s">
        <v>106</v>
      </c>
      <c r="L39" s="2">
        <v>7.87</v>
      </c>
      <c r="M39" s="2">
        <v>7.2</v>
      </c>
      <c r="N39" s="1">
        <v>255</v>
      </c>
      <c r="O39" s="1">
        <v>187.5</v>
      </c>
      <c r="P39" s="3">
        <v>8.8000000000000007</v>
      </c>
      <c r="Q39" s="4" t="s">
        <v>102</v>
      </c>
      <c r="R39" s="4">
        <v>48</v>
      </c>
      <c r="S39" s="4">
        <v>-36.200000000000003</v>
      </c>
      <c r="T39" s="4" cm="1">
        <f t="array" ref="T39">_xlfn.IFS(L39&lt;=5,IF(ISNUMBER(X39)=TRUE,X39*1.79+AA39*1.8+Z39*5.56+50000*(10^-L39)-R39,1.79+AA39*1.8+Z39*5.56+50000*(10^-L39)-R39),L39&gt;5,IF(ISNUMBER(X39)=TRUE,X39*1.79+AA39*1.8+50000*(10^-L39)-R39,AA39*1.8+50000*(10^-L39)-R39))</f>
        <v>-47.854225518558707</v>
      </c>
      <c r="W39" s="3">
        <v>0.1</v>
      </c>
      <c r="X39" s="3">
        <v>7.0000000000000007E-2</v>
      </c>
      <c r="Z39" s="52">
        <v>0.3</v>
      </c>
      <c r="AA39" s="3">
        <v>1.0999999999999999E-2</v>
      </c>
      <c r="AB39" s="4">
        <v>17.489999999999998</v>
      </c>
      <c r="AC39" s="3">
        <v>20.399999999999999</v>
      </c>
      <c r="AD39" s="8">
        <v>6.45</v>
      </c>
      <c r="AE39" s="8">
        <v>7.49</v>
      </c>
      <c r="AF39" s="3">
        <v>1.65</v>
      </c>
      <c r="AG39" s="3">
        <v>15.4</v>
      </c>
      <c r="AH39" s="2" t="s">
        <v>161</v>
      </c>
      <c r="AI39" s="2" t="s">
        <v>162</v>
      </c>
      <c r="AJ39" s="3" t="s">
        <v>159</v>
      </c>
      <c r="AN39" s="1">
        <f>S39*J39*0.012</f>
        <v>-26.064</v>
      </c>
      <c r="AO39" s="1">
        <f>W39*J39*0.012</f>
        <v>7.2000000000000008E-2</v>
      </c>
      <c r="AP39" s="1">
        <f>Z39*J39*0.012</f>
        <v>0.216</v>
      </c>
      <c r="AQ39" s="1">
        <f>AA39*J39*0.012</f>
        <v>7.92E-3</v>
      </c>
      <c r="AR39" s="1">
        <f>AB39*J39*0.012</f>
        <v>12.592799999999999</v>
      </c>
      <c r="AS39" s="1">
        <f t="shared" si="0"/>
        <v>34.56</v>
      </c>
      <c r="AU39" s="13" t="str">
        <f>CONCATENATE(TEXT(ROUNDDOWN(ABS(F39),0),"00"),"° ",TEXT(ROUNDDOWN(ABS((F39-ROUNDDOWN(F39,0))*60),0),"00"),"' ",TEXT(TRUNC((ABS((F39-ROUNDDOWN(F39,0))*60)-ROUNDDOWN(ABS((F39-ROUNDDOWN(F39,0))*60),0))*60,2),"00.00"),"""",IF(F39&lt;0," S"," N"))</f>
        <v>40° 41' 57.40" N</v>
      </c>
      <c r="AV39" s="13" t="str">
        <f>CONCATENATE(TEXT(ROUNDDOWN(ABS(G39),0),"000"),"° ",TEXT(ROUNDDOWN(ABS((G39-ROUNDDOWN(G39,0))*60),0),"00"),"' ",TEXT(TRUNC((ABS((G39-ROUNDDOWN(G39,0))*60)-ROUNDDOWN(ABS((G39-ROUNDDOWN(G39,0))*60),0))*60,2),"00.00"),"""",IF(G39&lt;0," W"," E"))</f>
        <v>078° 57' 26.24" W</v>
      </c>
    </row>
    <row r="40" spans="1:48" x14ac:dyDescent="0.3">
      <c r="A40" s="5">
        <v>44903</v>
      </c>
      <c r="B40" s="12" t="s">
        <v>79</v>
      </c>
      <c r="C40" t="s">
        <v>80</v>
      </c>
      <c r="E40" t="s">
        <v>81</v>
      </c>
      <c r="F40" s="11">
        <v>40.699280000000002</v>
      </c>
      <c r="G40" s="11">
        <v>-78.95729</v>
      </c>
      <c r="H40" t="s">
        <v>95</v>
      </c>
      <c r="I40" s="2">
        <v>10.26</v>
      </c>
      <c r="J40" s="1">
        <v>100</v>
      </c>
      <c r="K40" t="s">
        <v>106</v>
      </c>
      <c r="L40" s="2">
        <v>7.24</v>
      </c>
      <c r="M40" s="2">
        <v>6.7</v>
      </c>
      <c r="N40" s="1">
        <v>152</v>
      </c>
      <c r="O40" s="1">
        <v>139.80000000000001</v>
      </c>
      <c r="R40" s="4">
        <v>31.6</v>
      </c>
      <c r="S40" s="4">
        <v>-19.600000000000001</v>
      </c>
      <c r="T40" s="4" cm="1">
        <f t="array" ref="T40">_xlfn.IFS(L40&lt;=5,IF(ISNUMBER(X40)=TRUE,X40*1.79+AA40*1.8+Z40*5.56+50000*(10^-L40)-R40,1.79+AA40*1.8+Z40*5.56+50000*(10^-L40)-R40),L40&gt;5,IF(ISNUMBER(X40)=TRUE,X40*1.79+AA40*1.8+50000*(10^-L40)-R40,AA40*1.8+50000*(10^-L40)-R40))</f>
        <v>-31.579122800313314</v>
      </c>
      <c r="W40" s="3">
        <v>0.13100000000000001</v>
      </c>
      <c r="X40" s="3" t="s">
        <v>161</v>
      </c>
      <c r="Z40" s="52">
        <v>0.3</v>
      </c>
      <c r="AA40" s="3">
        <v>0.01</v>
      </c>
      <c r="AC40" s="3">
        <v>13.02</v>
      </c>
      <c r="AD40" s="8">
        <v>4.4000000000000004</v>
      </c>
      <c r="AE40" s="8">
        <v>6.53</v>
      </c>
      <c r="AF40" s="3">
        <v>1.4</v>
      </c>
      <c r="AG40" s="3">
        <v>11.5</v>
      </c>
      <c r="AH40" s="2" t="s">
        <v>161</v>
      </c>
      <c r="AI40" s="2" t="s">
        <v>162</v>
      </c>
      <c r="AJ40" s="3" t="s">
        <v>159</v>
      </c>
      <c r="AN40" s="1">
        <f>S40*J40*0.012</f>
        <v>-23.520000000000003</v>
      </c>
      <c r="AO40" s="1">
        <f>W40*J40*0.012</f>
        <v>0.15720000000000003</v>
      </c>
      <c r="AP40" s="1">
        <f>Z40*J40*0.012</f>
        <v>0.36</v>
      </c>
      <c r="AQ40" s="1">
        <f>AA40*J40*0.012</f>
        <v>1.2E-2</v>
      </c>
      <c r="AR40" s="1">
        <f>AB40*J40*0.012</f>
        <v>0</v>
      </c>
      <c r="AS40" s="1">
        <f t="shared" si="0"/>
        <v>37.92</v>
      </c>
      <c r="AU40" s="13"/>
      <c r="AV40" s="13"/>
    </row>
    <row r="41" spans="1:48" s="7" customFormat="1" x14ac:dyDescent="0.3">
      <c r="A41" s="45" t="s">
        <v>144</v>
      </c>
      <c r="B41" s="46"/>
      <c r="F41" s="47"/>
      <c r="G41" s="47"/>
      <c r="I41" s="15"/>
      <c r="J41" s="15">
        <f t="shared" ref="J41:K41" si="15">AVERAGE(J39:J40)</f>
        <v>80</v>
      </c>
      <c r="K41" s="15" t="e">
        <f t="shared" si="15"/>
        <v>#DIV/0!</v>
      </c>
      <c r="L41" s="15">
        <f>AVERAGE(L39:L40)</f>
        <v>7.5549999999999997</v>
      </c>
      <c r="M41" s="15">
        <f t="shared" ref="M41:AS41" si="16">AVERAGE(M39:M40)</f>
        <v>6.95</v>
      </c>
      <c r="N41" s="15">
        <f t="shared" si="16"/>
        <v>203.5</v>
      </c>
      <c r="O41" s="15">
        <f t="shared" si="16"/>
        <v>163.65</v>
      </c>
      <c r="P41" s="15"/>
      <c r="Q41" s="15" t="e">
        <f t="shared" si="16"/>
        <v>#DIV/0!</v>
      </c>
      <c r="R41" s="15">
        <f t="shared" si="16"/>
        <v>39.799999999999997</v>
      </c>
      <c r="S41" s="15">
        <f t="shared" si="16"/>
        <v>-27.900000000000002</v>
      </c>
      <c r="T41" s="15">
        <f t="shared" si="16"/>
        <v>-39.71667415943601</v>
      </c>
      <c r="U41" s="15"/>
      <c r="V41" s="15"/>
      <c r="W41" s="15">
        <f t="shared" si="16"/>
        <v>0.11550000000000001</v>
      </c>
      <c r="X41" s="15">
        <f t="shared" si="16"/>
        <v>7.0000000000000007E-2</v>
      </c>
      <c r="Y41" s="15"/>
      <c r="Z41" s="15">
        <f t="shared" si="16"/>
        <v>0.3</v>
      </c>
      <c r="AA41" s="15">
        <f t="shared" si="16"/>
        <v>1.0499999999999999E-2</v>
      </c>
      <c r="AB41" s="15">
        <f t="shared" si="16"/>
        <v>17.489999999999998</v>
      </c>
      <c r="AC41" s="15">
        <f t="shared" si="16"/>
        <v>16.71</v>
      </c>
      <c r="AD41" s="15">
        <f t="shared" si="16"/>
        <v>5.4250000000000007</v>
      </c>
      <c r="AE41" s="15">
        <f t="shared" si="16"/>
        <v>7.01</v>
      </c>
      <c r="AF41" s="15">
        <f t="shared" si="16"/>
        <v>1.5249999999999999</v>
      </c>
      <c r="AG41" s="15">
        <f t="shared" si="16"/>
        <v>13.45</v>
      </c>
      <c r="AH41" s="15" t="e">
        <f t="shared" si="16"/>
        <v>#DIV/0!</v>
      </c>
      <c r="AI41" s="15" t="e">
        <f t="shared" si="16"/>
        <v>#DIV/0!</v>
      </c>
      <c r="AJ41" s="15" t="e">
        <f t="shared" si="16"/>
        <v>#DIV/0!</v>
      </c>
      <c r="AK41" s="15"/>
      <c r="AL41" s="15"/>
      <c r="AM41" s="15"/>
      <c r="AN41" s="15">
        <f t="shared" si="16"/>
        <v>-24.792000000000002</v>
      </c>
      <c r="AO41" s="15">
        <f t="shared" si="16"/>
        <v>0.11460000000000002</v>
      </c>
      <c r="AP41" s="15">
        <f t="shared" si="16"/>
        <v>0.28799999999999998</v>
      </c>
      <c r="AQ41" s="15">
        <f t="shared" si="16"/>
        <v>9.9600000000000001E-3</v>
      </c>
      <c r="AR41" s="15">
        <f t="shared" si="16"/>
        <v>6.2963999999999993</v>
      </c>
      <c r="AS41" s="15">
        <f t="shared" si="16"/>
        <v>36.24</v>
      </c>
      <c r="AU41" s="48"/>
      <c r="AV41" s="48"/>
    </row>
    <row r="42" spans="1:48" x14ac:dyDescent="0.3">
      <c r="F42" s="11"/>
      <c r="G42" s="11"/>
      <c r="AD42" s="8"/>
      <c r="AE42" s="8"/>
      <c r="AU42" s="13"/>
      <c r="AV42" s="13"/>
    </row>
    <row r="43" spans="1:48" x14ac:dyDescent="0.3">
      <c r="A43" s="5">
        <v>44845</v>
      </c>
      <c r="B43" s="12" t="s">
        <v>50</v>
      </c>
      <c r="C43" t="s">
        <v>51</v>
      </c>
      <c r="E43" t="s">
        <v>112</v>
      </c>
      <c r="F43" s="11">
        <v>40.69773</v>
      </c>
      <c r="G43" s="11">
        <v>-78.958299999999994</v>
      </c>
      <c r="H43" t="s">
        <v>93</v>
      </c>
      <c r="I43" s="2">
        <v>10.16</v>
      </c>
      <c r="J43" s="1">
        <f>3.52*449</f>
        <v>1580.48</v>
      </c>
      <c r="K43" t="s">
        <v>96</v>
      </c>
      <c r="L43" s="2">
        <v>7.58</v>
      </c>
      <c r="M43" s="2">
        <v>7.4</v>
      </c>
      <c r="N43" s="1">
        <v>411</v>
      </c>
      <c r="O43" s="1">
        <v>416</v>
      </c>
      <c r="P43" s="3">
        <v>10.9</v>
      </c>
      <c r="Q43" s="4">
        <f>AVERAGE(63,65)</f>
        <v>64</v>
      </c>
      <c r="R43" s="4">
        <v>61</v>
      </c>
      <c r="S43" s="4">
        <v>-50.4</v>
      </c>
      <c r="T43" s="4" cm="1">
        <f t="array" ref="T43">_xlfn.IFS(L43&lt;=5,IF(ISNUMBER(X43)=TRUE,X43*1.79+AA43*1.8+Z43*5.56+50000*(10^-L43)-Q43,1.79+AA43*1.8+Z43*5.56+50000*(10^-L43)-Q43),L43&gt;5,IF(ISNUMBER(X43)=TRUE,X43*1.79+AA43*1.8+50000*(10^-L43)-Q43,AA43*1.8+50000*(10^-L43)-Q43))</f>
        <v>-63.585484866004052</v>
      </c>
      <c r="U43" s="2">
        <v>10.72</v>
      </c>
      <c r="V43" s="2">
        <v>96.8</v>
      </c>
      <c r="W43" s="3">
        <v>0.182</v>
      </c>
      <c r="X43" s="3">
        <v>0.08</v>
      </c>
      <c r="Z43" s="3" t="s">
        <v>158</v>
      </c>
      <c r="AA43" s="3">
        <v>0.15</v>
      </c>
      <c r="AB43" s="4">
        <v>135.22999999999999</v>
      </c>
      <c r="AC43" s="3">
        <v>48.19</v>
      </c>
      <c r="AD43" s="8">
        <v>13.4</v>
      </c>
      <c r="AE43" s="8">
        <v>11.02</v>
      </c>
      <c r="AF43" s="3">
        <v>1.9</v>
      </c>
      <c r="AG43" s="3">
        <v>9.9</v>
      </c>
      <c r="AH43" s="2" t="s">
        <v>161</v>
      </c>
      <c r="AI43" s="2" t="s">
        <v>162</v>
      </c>
      <c r="AJ43" s="3" t="s">
        <v>159</v>
      </c>
      <c r="AN43" s="1">
        <f>S43*J43*0.012</f>
        <v>-955.87430399999994</v>
      </c>
      <c r="AO43" s="1">
        <f>W43*J43*0.012</f>
        <v>3.4517683199999998</v>
      </c>
      <c r="AP43" s="1" t="e">
        <f>Z43*J43*0.012</f>
        <v>#VALUE!</v>
      </c>
      <c r="AQ43" s="1">
        <f>AA43*J43*0.012</f>
        <v>2.8448640000000003</v>
      </c>
      <c r="AR43" s="1">
        <f>AB43*J43*0.012</f>
        <v>2564.7397247999997</v>
      </c>
      <c r="AS43" s="1">
        <f t="shared" si="0"/>
        <v>1156.9113600000001</v>
      </c>
      <c r="AT43" t="s">
        <v>101</v>
      </c>
      <c r="AU43" s="13" t="str">
        <f>CONCATENATE(TEXT(ROUNDDOWN(ABS(F43),0),"00"),"° ",TEXT(ROUNDDOWN(ABS((F43-ROUNDDOWN(F43,0))*60),0),"00"),"' ",TEXT(TRUNC((ABS((F43-ROUNDDOWN(F43,0))*60)-ROUNDDOWN(ABS((F43-ROUNDDOWN(F43,0))*60),0))*60,2),"00.00"),"""",IF(F43&lt;0," S"," N"))</f>
        <v>40° 41' 51.82" N</v>
      </c>
      <c r="AV43" s="13" t="str">
        <f>CONCATENATE(TEXT(ROUNDDOWN(ABS(G43),0),"000"),"° ",TEXT(ROUNDDOWN(ABS((G43-ROUNDDOWN(G43,0))*60),0),"00"),"' ",TEXT(TRUNC((ABS((G43-ROUNDDOWN(G43,0))*60)-ROUNDDOWN(ABS((G43-ROUNDDOWN(G43,0))*60),0))*60,2),"00.00"),"""",IF(G43&lt;0," W"," E"))</f>
        <v>078° 57' 29.87" W</v>
      </c>
    </row>
    <row r="44" spans="1:48" x14ac:dyDescent="0.3">
      <c r="A44" s="5">
        <v>44903</v>
      </c>
      <c r="B44" s="12" t="s">
        <v>50</v>
      </c>
      <c r="C44" t="s">
        <v>51</v>
      </c>
      <c r="E44" t="s">
        <v>112</v>
      </c>
      <c r="F44" s="11">
        <v>40.69773</v>
      </c>
      <c r="G44" s="11">
        <v>-78.958299999999994</v>
      </c>
      <c r="H44" t="s">
        <v>93</v>
      </c>
      <c r="I44" s="2">
        <v>10.16</v>
      </c>
      <c r="J44" s="1">
        <v>6398</v>
      </c>
      <c r="K44" t="s">
        <v>96</v>
      </c>
      <c r="L44" s="2">
        <v>7.53</v>
      </c>
      <c r="M44" s="2">
        <v>7.2</v>
      </c>
      <c r="N44" s="1">
        <v>275</v>
      </c>
      <c r="O44" s="1">
        <v>275</v>
      </c>
      <c r="P44" s="3">
        <v>8</v>
      </c>
      <c r="Q44" s="4">
        <v>42</v>
      </c>
      <c r="R44" s="4">
        <v>47.2</v>
      </c>
      <c r="S44" s="4">
        <v>-35.799999999999997</v>
      </c>
      <c r="T44" s="4" cm="1">
        <f t="array" ref="T44">_xlfn.IFS(L44&lt;=5,IF(ISNUMBER(X44)=TRUE,X44*1.79+AA44*1.8+Z44*5.56+50000*(10^-L44)-Q44,1.79+AA44*1.8+Z44*5.56+50000*(10^-L44)-Q44),L44&gt;5,IF(ISNUMBER(X44)=TRUE,X44*1.79+AA44*1.8+50000*(10^-L44)-Q44,AA44*1.8+50000*(10^-L44)-Q44))</f>
        <v>-41.998524395386667</v>
      </c>
      <c r="U44" s="2">
        <v>11.31</v>
      </c>
      <c r="V44" s="2">
        <v>96</v>
      </c>
      <c r="W44" s="3">
        <v>0.19400000000000001</v>
      </c>
      <c r="X44" s="3" t="s">
        <v>160</v>
      </c>
      <c r="Z44" s="3" t="s">
        <v>158</v>
      </c>
      <c r="AC44" s="3">
        <v>31.6</v>
      </c>
      <c r="AD44" s="8">
        <v>8.4700000000000006</v>
      </c>
      <c r="AE44" s="8">
        <v>8.07</v>
      </c>
      <c r="AF44" s="3">
        <v>1.66</v>
      </c>
      <c r="AG44" s="3">
        <v>9.4</v>
      </c>
      <c r="AH44" s="2" t="s">
        <v>161</v>
      </c>
      <c r="AI44" s="2" t="s">
        <v>162</v>
      </c>
      <c r="AJ44" s="3" t="s">
        <v>159</v>
      </c>
      <c r="AN44" s="1">
        <f>S44*J44*0.012</f>
        <v>-2748.5808000000002</v>
      </c>
      <c r="AO44" s="1">
        <f>W44*J44*0.012</f>
        <v>14.894544</v>
      </c>
      <c r="AP44" s="1" t="e">
        <f>Z44*J44*0.012</f>
        <v>#VALUE!</v>
      </c>
      <c r="AQ44" s="1">
        <f>AA44*J44*0.012</f>
        <v>0</v>
      </c>
      <c r="AR44" s="1">
        <f>AB44*J44*0.012</f>
        <v>0</v>
      </c>
      <c r="AS44" s="1">
        <f t="shared" si="0"/>
        <v>3623.8272000000002</v>
      </c>
      <c r="AU44" s="13"/>
      <c r="AV44" s="13"/>
    </row>
    <row r="45" spans="1:48" x14ac:dyDescent="0.3">
      <c r="A45" s="5">
        <v>44964</v>
      </c>
      <c r="B45" s="12" t="s">
        <v>50</v>
      </c>
      <c r="C45" t="s">
        <v>51</v>
      </c>
      <c r="E45" t="s">
        <v>112</v>
      </c>
      <c r="F45" s="11">
        <v>40.69773</v>
      </c>
      <c r="G45" s="11">
        <v>-78.958299999999994</v>
      </c>
      <c r="H45" t="s">
        <v>241</v>
      </c>
      <c r="J45" s="1" t="s">
        <v>219</v>
      </c>
      <c r="L45" s="2">
        <v>7.03</v>
      </c>
      <c r="M45" s="2">
        <v>6.9</v>
      </c>
      <c r="N45" s="1">
        <v>446</v>
      </c>
      <c r="O45" s="1">
        <v>332</v>
      </c>
      <c r="Q45" s="4">
        <v>43</v>
      </c>
      <c r="R45" s="4">
        <v>49.4</v>
      </c>
      <c r="S45" s="4">
        <v>-37.4</v>
      </c>
      <c r="T45" s="4" cm="1">
        <f t="array" ref="T45">_xlfn.IFS(L45&lt;=5,IF(ISNUMBER(X45)=TRUE,X45*1.79+AA45*1.8+Z45*5.56+50000*(10^-L45)-Q45,1.79+AA45*1.8+Z45*5.56+50000*(10^-L45)-Q45),L45&gt;5,IF(ISNUMBER(X45)=TRUE,X45*1.79+AA45*1.8+50000*(10^-L45)-Q45,AA45*1.8+50000*(10^-L45)-Q45))</f>
        <v>-42.662833728496018</v>
      </c>
      <c r="W45" s="3">
        <v>0.182</v>
      </c>
      <c r="X45" s="3">
        <v>0.05</v>
      </c>
      <c r="Z45" s="3" t="s">
        <v>158</v>
      </c>
      <c r="AA45" s="3">
        <v>0.13500000000000001</v>
      </c>
      <c r="AB45" s="4">
        <v>95.31</v>
      </c>
      <c r="AC45" s="3">
        <v>37.729999999999997</v>
      </c>
      <c r="AD45" s="8">
        <v>10.68</v>
      </c>
      <c r="AE45" s="8">
        <v>8.75</v>
      </c>
      <c r="AF45" s="3">
        <v>1.62</v>
      </c>
      <c r="AG45" s="3">
        <v>9.9</v>
      </c>
      <c r="AH45" s="2" t="s">
        <v>161</v>
      </c>
      <c r="AI45" s="2" t="s">
        <v>162</v>
      </c>
      <c r="AJ45" s="3" t="s">
        <v>159</v>
      </c>
      <c r="AU45" s="13"/>
      <c r="AV45" s="13"/>
    </row>
    <row r="46" spans="1:48" x14ac:dyDescent="0.3">
      <c r="A46" s="5">
        <v>45022</v>
      </c>
      <c r="B46" s="12" t="s">
        <v>86</v>
      </c>
      <c r="C46" t="s">
        <v>51</v>
      </c>
      <c r="E46" t="s">
        <v>112</v>
      </c>
      <c r="F46" s="11">
        <v>40.69773</v>
      </c>
      <c r="G46" s="11">
        <v>-78.958299999999994</v>
      </c>
      <c r="H46" t="s">
        <v>241</v>
      </c>
      <c r="J46" s="1" t="s">
        <v>219</v>
      </c>
      <c r="L46" s="2">
        <v>7.61</v>
      </c>
      <c r="M46" s="2">
        <v>6.7</v>
      </c>
      <c r="N46" s="1">
        <v>265</v>
      </c>
      <c r="O46" s="1">
        <v>277</v>
      </c>
      <c r="Q46" s="4">
        <v>38</v>
      </c>
      <c r="R46" s="4">
        <v>43.4</v>
      </c>
      <c r="S46" s="4">
        <v>-31.2</v>
      </c>
      <c r="T46" s="4" cm="1">
        <f t="array" ref="T46">_xlfn.IFS(L46&lt;=5,IF(ISNUMBER(X46)=TRUE,X46*1.79+AA46*1.8+Z46*5.56+50000*(10^-L46)-Q46,1.79+AA46*1.8+Z46*5.56+50000*(10^-L46)-Q46),L46&gt;5,IF(ISNUMBER(X46)=TRUE,X46*1.79+AA46*1.8+50000*(10^-L46)-Q46,AA46*1.8+50000*(10^-L46)-Q46))</f>
        <v>-37.761672645542156</v>
      </c>
      <c r="W46" s="3">
        <v>0.25800000000000001</v>
      </c>
      <c r="X46" s="3">
        <v>0.05</v>
      </c>
      <c r="Z46" s="3">
        <v>0.3</v>
      </c>
      <c r="AA46" s="3">
        <v>8.2000000000000003E-2</v>
      </c>
      <c r="AB46" s="4">
        <v>76.12</v>
      </c>
      <c r="AC46" s="3">
        <v>26.89</v>
      </c>
      <c r="AD46" s="8">
        <v>7.92</v>
      </c>
      <c r="AE46" s="8">
        <v>6.69</v>
      </c>
      <c r="AF46" s="3">
        <v>1.51</v>
      </c>
      <c r="AG46" s="3">
        <v>8.8000000000000007</v>
      </c>
      <c r="AH46" s="2" t="s">
        <v>161</v>
      </c>
      <c r="AI46" s="2" t="s">
        <v>162</v>
      </c>
      <c r="AJ46" s="3" t="s">
        <v>159</v>
      </c>
      <c r="AU46" s="13"/>
      <c r="AV46" s="13"/>
    </row>
    <row r="47" spans="1:48" x14ac:dyDescent="0.3">
      <c r="A47" s="5">
        <v>45098</v>
      </c>
      <c r="B47" s="12" t="s">
        <v>267</v>
      </c>
      <c r="C47" t="s">
        <v>51</v>
      </c>
      <c r="E47" t="s">
        <v>112</v>
      </c>
      <c r="F47" s="11">
        <v>40.69773</v>
      </c>
      <c r="G47" s="11">
        <v>-78.958299999999994</v>
      </c>
      <c r="H47" t="s">
        <v>241</v>
      </c>
      <c r="J47" s="1" t="s">
        <v>219</v>
      </c>
      <c r="L47" s="2">
        <v>7.56</v>
      </c>
      <c r="M47" s="2">
        <v>6.5</v>
      </c>
      <c r="N47" s="1">
        <v>473</v>
      </c>
      <c r="O47" s="1">
        <v>446</v>
      </c>
      <c r="P47" s="3">
        <v>15</v>
      </c>
      <c r="Q47" s="4">
        <v>55</v>
      </c>
      <c r="R47" s="4">
        <v>66</v>
      </c>
      <c r="S47" s="4">
        <v>-54.6</v>
      </c>
      <c r="T47" s="4" cm="1">
        <f t="array" ref="T47">_xlfn.IFS(L47&lt;=5,IF(ISNUMBER(X47)=TRUE,X47*1.79+AA47*1.8+Z47*5.56+50000*(10^-L47)-Q47,1.79+AA47*1.8+Z47*5.56+50000*(10^-L47)-Q47),L47&gt;5,IF(ISNUMBER(X47)=TRUE,X47*1.79+AA47*1.8+50000*(10^-L47)-Q47,AA47*1.8+50000*(10^-L47)-Q47))</f>
        <v>-54.626602885648332</v>
      </c>
      <c r="W47" s="3">
        <v>0.14099999999999999</v>
      </c>
      <c r="X47" s="3">
        <v>5.8000000000000003E-2</v>
      </c>
      <c r="Z47" s="3">
        <v>0.3</v>
      </c>
      <c r="AA47" s="3">
        <v>0.14899999999999999</v>
      </c>
      <c r="AB47" s="4">
        <v>142.5</v>
      </c>
      <c r="AC47" s="3">
        <v>55.05</v>
      </c>
      <c r="AD47" s="8">
        <v>15.1</v>
      </c>
      <c r="AE47" s="8">
        <v>11.82</v>
      </c>
      <c r="AF47" s="3">
        <v>2.06</v>
      </c>
      <c r="AG47" s="3">
        <v>9.9</v>
      </c>
      <c r="AH47" s="2">
        <v>0.05</v>
      </c>
      <c r="AI47" s="2">
        <v>0.03</v>
      </c>
      <c r="AJ47" s="3">
        <v>0.2</v>
      </c>
      <c r="AU47" s="13"/>
      <c r="AV47" s="13"/>
    </row>
    <row r="48" spans="1:48" x14ac:dyDescent="0.3">
      <c r="A48" s="5">
        <v>45169</v>
      </c>
      <c r="B48" s="12" t="s">
        <v>267</v>
      </c>
      <c r="C48" t="s">
        <v>51</v>
      </c>
      <c r="E48" t="s">
        <v>112</v>
      </c>
      <c r="F48" s="11">
        <v>40.69773</v>
      </c>
      <c r="G48" s="11">
        <v>-78.958299999999994</v>
      </c>
      <c r="H48" t="s">
        <v>241</v>
      </c>
      <c r="J48" s="1" t="s">
        <v>219</v>
      </c>
      <c r="L48" s="2">
        <v>7.62</v>
      </c>
      <c r="M48" s="43">
        <v>6.5</v>
      </c>
      <c r="N48" s="1">
        <v>335</v>
      </c>
      <c r="O48" s="1">
        <v>334</v>
      </c>
      <c r="P48" s="3">
        <v>13.9</v>
      </c>
      <c r="Q48" s="4">
        <v>55</v>
      </c>
      <c r="R48" s="4">
        <v>54.2</v>
      </c>
      <c r="S48" s="4">
        <v>-47.2</v>
      </c>
      <c r="T48" s="4" cm="1">
        <f t="array" ref="T48">_xlfn.IFS(L48&lt;=5,IF(ISNUMBER(X48)=TRUE,X48*1.79+AA48*1.8+Z48*5.56+50000*(10^-L48)-Q48,1.79+AA48*1.8+Z48*5.56+50000*(10^-L48)-Q48),L48&gt;5,IF(ISNUMBER(X48)=TRUE,X48*1.79+AA48*1.8+50000*(10^-L48)-Q48,AA48*1.8+50000*(10^-L48)-Q48))</f>
        <v>-54.520700583540489</v>
      </c>
      <c r="W48" s="3">
        <v>0.80900000000000005</v>
      </c>
      <c r="X48" s="3">
        <v>7.0000000000000007E-2</v>
      </c>
      <c r="Z48" s="3">
        <v>0.622</v>
      </c>
      <c r="AA48" s="3">
        <v>0.19600000000000001</v>
      </c>
      <c r="AB48" s="4">
        <v>91.33</v>
      </c>
      <c r="AC48" s="3">
        <v>39.799999999999997</v>
      </c>
      <c r="AD48">
        <v>10.4</v>
      </c>
      <c r="AE48" s="3">
        <v>9.34</v>
      </c>
      <c r="AF48" s="31">
        <v>1.85</v>
      </c>
      <c r="AG48" s="3">
        <v>8.9</v>
      </c>
      <c r="AH48" s="43">
        <v>0.05</v>
      </c>
      <c r="AI48" s="2">
        <v>0.03</v>
      </c>
      <c r="AJ48" s="3">
        <v>0.2</v>
      </c>
      <c r="AU48" s="13"/>
      <c r="AV48" s="13"/>
    </row>
    <row r="49" spans="1:48" s="7" customFormat="1" x14ac:dyDescent="0.3">
      <c r="A49" s="45" t="s">
        <v>144</v>
      </c>
      <c r="B49" s="46"/>
      <c r="F49" s="47"/>
      <c r="G49" s="47"/>
      <c r="I49" s="15"/>
      <c r="J49" s="15">
        <f t="shared" ref="J49:K49" si="17">AVERAGE(J43:J48)</f>
        <v>3989.24</v>
      </c>
      <c r="K49" s="15" t="e">
        <f t="shared" si="17"/>
        <v>#DIV/0!</v>
      </c>
      <c r="L49" s="15">
        <f>AVERAGE(L43:L48)</f>
        <v>7.4883333333333333</v>
      </c>
      <c r="M49" s="15">
        <f>AVERAGE(M43:M48)</f>
        <v>6.8666666666666671</v>
      </c>
      <c r="N49" s="20">
        <f>AVERAGE(N43:N48)</f>
        <v>367.5</v>
      </c>
      <c r="O49" s="20">
        <f>AVERAGE(O43:O48)</f>
        <v>346.66666666666669</v>
      </c>
      <c r="P49" s="20">
        <f t="shared" ref="P49:AJ49" si="18">AVERAGE(P43:P48)</f>
        <v>11.95</v>
      </c>
      <c r="Q49" s="20">
        <f t="shared" si="18"/>
        <v>49.5</v>
      </c>
      <c r="R49" s="20">
        <f t="shared" si="18"/>
        <v>53.533333333333331</v>
      </c>
      <c r="S49" s="20">
        <f t="shared" si="18"/>
        <v>-42.766666666666659</v>
      </c>
      <c r="T49" s="20">
        <f t="shared" si="18"/>
        <v>-49.192636517436284</v>
      </c>
      <c r="U49" s="20">
        <f t="shared" si="18"/>
        <v>11.015000000000001</v>
      </c>
      <c r="V49" s="20">
        <f t="shared" si="18"/>
        <v>96.4</v>
      </c>
      <c r="W49" s="30">
        <f t="shared" si="18"/>
        <v>0.29433333333333334</v>
      </c>
      <c r="X49" s="30">
        <f t="shared" si="18"/>
        <v>6.1600000000000002E-2</v>
      </c>
      <c r="Y49" s="30"/>
      <c r="Z49" s="30">
        <f t="shared" si="18"/>
        <v>0.40733333333333333</v>
      </c>
      <c r="AA49" s="30">
        <f t="shared" si="18"/>
        <v>0.1424</v>
      </c>
      <c r="AB49" s="20">
        <f t="shared" si="18"/>
        <v>108.098</v>
      </c>
      <c r="AC49" s="20">
        <f t="shared" si="18"/>
        <v>39.876666666666665</v>
      </c>
      <c r="AD49" s="20">
        <f t="shared" si="18"/>
        <v>10.994999999999999</v>
      </c>
      <c r="AE49" s="30">
        <f t="shared" si="18"/>
        <v>9.2816666666666663</v>
      </c>
      <c r="AF49" s="30">
        <f t="shared" si="18"/>
        <v>1.7666666666666666</v>
      </c>
      <c r="AG49" s="30">
        <f t="shared" si="18"/>
        <v>9.4666666666666668</v>
      </c>
      <c r="AH49" s="30">
        <f t="shared" si="18"/>
        <v>0.05</v>
      </c>
      <c r="AI49" s="30">
        <f t="shared" si="18"/>
        <v>0.03</v>
      </c>
      <c r="AJ49" s="30">
        <f t="shared" si="18"/>
        <v>0.2</v>
      </c>
      <c r="AK49" s="30"/>
      <c r="AL49" s="30"/>
      <c r="AM49" s="32"/>
      <c r="AN49" s="20"/>
      <c r="AO49" s="20"/>
      <c r="AP49" s="20"/>
      <c r="AQ49" s="20"/>
      <c r="AR49" s="20"/>
      <c r="AS49" s="1"/>
      <c r="AU49" s="48"/>
      <c r="AV49" s="48"/>
    </row>
    <row r="50" spans="1:48" x14ac:dyDescent="0.3">
      <c r="F50" s="11"/>
      <c r="G50" s="11"/>
      <c r="AD50" s="8"/>
      <c r="AE50" s="8"/>
      <c r="AU50" s="13"/>
      <c r="AV50" s="13"/>
    </row>
    <row r="51" spans="1:48" x14ac:dyDescent="0.3">
      <c r="A51" s="5">
        <v>44846</v>
      </c>
      <c r="B51" s="12" t="s">
        <v>77</v>
      </c>
      <c r="C51" t="s">
        <v>78</v>
      </c>
      <c r="E51" t="s">
        <v>54</v>
      </c>
      <c r="F51" s="11">
        <v>40.696370000000002</v>
      </c>
      <c r="G51" s="11">
        <v>-78.960629999999995</v>
      </c>
      <c r="H51" t="s">
        <v>95</v>
      </c>
      <c r="I51" s="2">
        <v>10.02</v>
      </c>
      <c r="J51" s="1">
        <v>6</v>
      </c>
      <c r="K51" t="s">
        <v>96</v>
      </c>
      <c r="L51" s="2">
        <v>4.22</v>
      </c>
      <c r="M51" s="2">
        <v>4.2</v>
      </c>
      <c r="N51" s="1">
        <v>672</v>
      </c>
      <c r="O51" s="1">
        <v>595</v>
      </c>
      <c r="Q51" s="4">
        <v>0</v>
      </c>
      <c r="R51" s="18">
        <v>0</v>
      </c>
      <c r="S51" s="4">
        <v>24.4</v>
      </c>
      <c r="T51" s="4" cm="1">
        <f t="array" ref="T51">_xlfn.IFS(L51&lt;=5,IF(ISNUMBER(X51)=TRUE,X51*1.79+AA51*1.8+Z51*5.56+50000*(10^-L51)-Q51,1.79+AA51*1.8+Z51*5.56+50000*(10^-L51)-Q51),L51&gt;5,IF(ISNUMBER(X51)=TRUE,X51*1.79+AA51*1.8+50000*(10^-L51)-Q51,AA51*1.8+50000*(10^-L51)-Q51))</f>
        <v>13.912137930371786</v>
      </c>
      <c r="W51" s="3">
        <v>0.18</v>
      </c>
      <c r="X51" s="3">
        <v>0.106</v>
      </c>
      <c r="Z51" s="3">
        <v>1.64</v>
      </c>
      <c r="AA51" s="3">
        <v>0.88400000000000001</v>
      </c>
      <c r="AB51" s="4">
        <v>283.01</v>
      </c>
      <c r="AC51" s="3">
        <v>64.3</v>
      </c>
      <c r="AD51" s="8">
        <v>29.5</v>
      </c>
      <c r="AE51" s="8">
        <v>8.94</v>
      </c>
      <c r="AF51" s="3">
        <v>2.73</v>
      </c>
      <c r="AG51" s="3">
        <v>4</v>
      </c>
      <c r="AH51" s="2">
        <v>5.3999999999999999E-2</v>
      </c>
      <c r="AI51" s="21">
        <v>6.5000000000000002E-2</v>
      </c>
      <c r="AJ51" s="3" t="s">
        <v>159</v>
      </c>
      <c r="AN51" s="1">
        <f>S51*J51*0.012</f>
        <v>1.7567999999999997</v>
      </c>
      <c r="AO51" s="1">
        <f>W51*J51*0.012</f>
        <v>1.2960000000000001E-2</v>
      </c>
      <c r="AP51" s="1">
        <f>Z51*J51*0.012</f>
        <v>0.11808</v>
      </c>
      <c r="AR51" s="1">
        <f>AB51*J51*0.012</f>
        <v>20.376719999999999</v>
      </c>
      <c r="AS51" s="1">
        <f t="shared" si="0"/>
        <v>0</v>
      </c>
      <c r="AU51" s="13" t="str">
        <f>CONCATENATE(TEXT(ROUNDDOWN(ABS(F51),0),"00"),"° ",TEXT(ROUNDDOWN(ABS((F51-ROUNDDOWN(F51,0))*60),0),"00"),"' ",TEXT(TRUNC((ABS((F51-ROUNDDOWN(F51,0))*60)-ROUNDDOWN(ABS((F51-ROUNDDOWN(F51,0))*60),0))*60,2),"00.00"),"""",IF(F51&lt;0," S"," N"))</f>
        <v>40° 41' 46.93" N</v>
      </c>
      <c r="AV51" s="13" t="str">
        <f>CONCATENATE(TEXT(ROUNDDOWN(ABS(G51),0),"000"),"° ",TEXT(ROUNDDOWN(ABS((G51-ROUNDDOWN(G51,0))*60),0),"00"),"' ",TEXT(TRUNC((ABS((G51-ROUNDDOWN(G51,0))*60)-ROUNDDOWN(ABS((G51-ROUNDDOWN(G51,0))*60),0))*60,2),"00.00"),"""",IF(G51&lt;0," W"," E"))</f>
        <v>078° 57' 38.26" W</v>
      </c>
    </row>
    <row r="52" spans="1:48" x14ac:dyDescent="0.3">
      <c r="A52" s="5">
        <v>44903</v>
      </c>
      <c r="B52" s="12" t="s">
        <v>77</v>
      </c>
      <c r="C52" t="s">
        <v>78</v>
      </c>
      <c r="E52" t="s">
        <v>54</v>
      </c>
      <c r="F52" s="11">
        <v>40.696370000000002</v>
      </c>
      <c r="G52" s="11">
        <v>-78.960629999999995</v>
      </c>
      <c r="H52" t="s">
        <v>95</v>
      </c>
      <c r="I52" s="2">
        <v>10.02</v>
      </c>
      <c r="J52" s="1">
        <v>10</v>
      </c>
      <c r="K52" t="s">
        <v>96</v>
      </c>
      <c r="L52" s="2">
        <v>4.57</v>
      </c>
      <c r="M52" s="2">
        <v>4.3</v>
      </c>
      <c r="N52" s="1">
        <v>465</v>
      </c>
      <c r="O52" s="1">
        <v>490</v>
      </c>
      <c r="Q52" s="4">
        <v>0</v>
      </c>
      <c r="R52" s="4">
        <v>0</v>
      </c>
      <c r="S52" s="4">
        <v>20.2</v>
      </c>
      <c r="T52" s="4" cm="1">
        <f t="array" ref="T52">_xlfn.IFS(L52&lt;=5,IF(ISNUMBER(X52)=TRUE,X52*1.79+AA52*1.8+Z52*5.56+50000*(10^-L52)-Q52,1.79+AA52*1.8+Z52*5.56+50000*(10^-L52)-Q52),L52&gt;5,IF(ISNUMBER(X52)=TRUE,X52*1.79+AA52*1.8+50000*(10^-L52)-Q52,AA52*1.8+50000*(10^-L52)-Q52))</f>
        <v>11.398617401963454</v>
      </c>
      <c r="W52" s="3">
        <v>0.17899999999999999</v>
      </c>
      <c r="X52" s="3">
        <v>6.3E-2</v>
      </c>
      <c r="Z52" s="3">
        <v>1.5329999999999999</v>
      </c>
      <c r="AA52" s="3">
        <v>0.78700000000000003</v>
      </c>
      <c r="AC52" s="3">
        <v>48.52</v>
      </c>
      <c r="AD52" s="8">
        <v>22.59</v>
      </c>
      <c r="AE52" s="8">
        <v>6.16</v>
      </c>
      <c r="AF52" s="3">
        <v>2.44</v>
      </c>
      <c r="AG52" s="3">
        <v>4</v>
      </c>
      <c r="AH52" s="2" t="s">
        <v>161</v>
      </c>
      <c r="AI52" s="2">
        <v>7.0999999999999994E-2</v>
      </c>
      <c r="AJ52" s="3" t="s">
        <v>159</v>
      </c>
      <c r="AN52" s="1">
        <f>S52*J52*0.012</f>
        <v>2.4239999999999999</v>
      </c>
      <c r="AO52" s="1">
        <f>W52*J52*0.012</f>
        <v>2.1480000000000003E-2</v>
      </c>
      <c r="AP52" s="1">
        <f>Z52*J52*0.012</f>
        <v>0.18395999999999998</v>
      </c>
      <c r="AQ52" s="1">
        <f>AA52*J52*0.012</f>
        <v>9.444000000000001E-2</v>
      </c>
      <c r="AR52" s="1">
        <f>AB52*J52*0.012</f>
        <v>0</v>
      </c>
      <c r="AS52" s="1">
        <f t="shared" si="0"/>
        <v>0</v>
      </c>
      <c r="AU52" s="13"/>
      <c r="AV52" s="13"/>
    </row>
    <row r="53" spans="1:48" s="7" customFormat="1" x14ac:dyDescent="0.3">
      <c r="A53" s="45" t="s">
        <v>144</v>
      </c>
      <c r="B53" s="46"/>
      <c r="F53" s="47"/>
      <c r="G53" s="47"/>
      <c r="I53" s="15"/>
      <c r="J53" s="15">
        <f t="shared" ref="J53:K53" si="19">AVERAGE(J51:J52)</f>
        <v>8</v>
      </c>
      <c r="K53" s="15" t="e">
        <f t="shared" si="19"/>
        <v>#DIV/0!</v>
      </c>
      <c r="L53" s="15">
        <f>AVERAGE(L51:L52)</f>
        <v>4.3949999999999996</v>
      </c>
      <c r="M53" s="15">
        <f t="shared" ref="M53:AS53" si="20">AVERAGE(M51:M52)</f>
        <v>4.25</v>
      </c>
      <c r="N53" s="15">
        <f t="shared" si="20"/>
        <v>568.5</v>
      </c>
      <c r="O53" s="15">
        <f t="shared" si="20"/>
        <v>542.5</v>
      </c>
      <c r="P53" s="15"/>
      <c r="Q53" s="15">
        <f t="shared" si="20"/>
        <v>0</v>
      </c>
      <c r="R53" s="15">
        <f t="shared" si="20"/>
        <v>0</v>
      </c>
      <c r="S53" s="15">
        <f t="shared" si="20"/>
        <v>22.299999999999997</v>
      </c>
      <c r="T53" s="15">
        <f t="shared" si="20"/>
        <v>12.65537766616762</v>
      </c>
      <c r="U53" s="15"/>
      <c r="V53" s="15"/>
      <c r="W53" s="15">
        <f t="shared" si="20"/>
        <v>0.17949999999999999</v>
      </c>
      <c r="X53" s="15">
        <f t="shared" si="20"/>
        <v>8.4499999999999992E-2</v>
      </c>
      <c r="Y53" s="15"/>
      <c r="Z53" s="15">
        <f t="shared" si="20"/>
        <v>1.5865</v>
      </c>
      <c r="AA53" s="15">
        <f t="shared" si="20"/>
        <v>0.83550000000000002</v>
      </c>
      <c r="AB53" s="15">
        <f t="shared" si="20"/>
        <v>283.01</v>
      </c>
      <c r="AC53" s="15">
        <f t="shared" si="20"/>
        <v>56.41</v>
      </c>
      <c r="AD53" s="15">
        <f t="shared" si="20"/>
        <v>26.045000000000002</v>
      </c>
      <c r="AE53" s="15">
        <f t="shared" si="20"/>
        <v>7.55</v>
      </c>
      <c r="AF53" s="15">
        <f t="shared" si="20"/>
        <v>2.585</v>
      </c>
      <c r="AG53" s="15">
        <f t="shared" si="20"/>
        <v>4</v>
      </c>
      <c r="AH53" s="15">
        <f t="shared" si="20"/>
        <v>5.3999999999999999E-2</v>
      </c>
      <c r="AI53" s="15">
        <f t="shared" si="20"/>
        <v>6.8000000000000005E-2</v>
      </c>
      <c r="AJ53" s="15" t="e">
        <f t="shared" si="20"/>
        <v>#DIV/0!</v>
      </c>
      <c r="AK53" s="15"/>
      <c r="AL53" s="15"/>
      <c r="AM53" s="15"/>
      <c r="AN53" s="15">
        <f t="shared" si="20"/>
        <v>2.0903999999999998</v>
      </c>
      <c r="AO53" s="15">
        <f t="shared" si="20"/>
        <v>1.7220000000000003E-2</v>
      </c>
      <c r="AP53" s="15">
        <f t="shared" si="20"/>
        <v>0.15101999999999999</v>
      </c>
      <c r="AQ53" s="15">
        <f t="shared" si="20"/>
        <v>9.444000000000001E-2</v>
      </c>
      <c r="AR53" s="15">
        <f t="shared" si="20"/>
        <v>10.188359999999999</v>
      </c>
      <c r="AS53" s="15">
        <f t="shared" si="20"/>
        <v>0</v>
      </c>
      <c r="AU53" s="48"/>
      <c r="AV53" s="48"/>
    </row>
    <row r="54" spans="1:48" x14ac:dyDescent="0.3">
      <c r="F54" s="11"/>
      <c r="G54" s="11"/>
      <c r="AD54" s="8"/>
      <c r="AE54" s="8"/>
      <c r="AU54" s="13"/>
      <c r="AV54" s="13"/>
    </row>
    <row r="55" spans="1:48" x14ac:dyDescent="0.3">
      <c r="A55" s="5" t="s">
        <v>167</v>
      </c>
      <c r="C55" t="s">
        <v>169</v>
      </c>
      <c r="F55" s="11"/>
      <c r="G55" s="11"/>
      <c r="J55" s="14">
        <v>979</v>
      </c>
      <c r="M55" s="2">
        <v>3.9</v>
      </c>
      <c r="S55" s="4">
        <v>42</v>
      </c>
      <c r="W55" s="3">
        <v>0.7</v>
      </c>
      <c r="Z55" s="3">
        <v>3</v>
      </c>
      <c r="AA55" s="3">
        <v>0.7</v>
      </c>
      <c r="AB55" s="4">
        <v>183</v>
      </c>
      <c r="AD55" s="8"/>
      <c r="AE55" s="8"/>
      <c r="AU55" s="13"/>
      <c r="AV55" s="13"/>
    </row>
    <row r="56" spans="1:48" x14ac:dyDescent="0.3">
      <c r="A56" s="5">
        <v>44846</v>
      </c>
      <c r="B56" s="12" t="s">
        <v>75</v>
      </c>
      <c r="C56" t="s">
        <v>76</v>
      </c>
      <c r="E56" t="s">
        <v>54</v>
      </c>
      <c r="F56" s="11">
        <v>40.686079999999997</v>
      </c>
      <c r="G56" s="11">
        <v>-78.965350000000001</v>
      </c>
      <c r="H56" t="s">
        <v>95</v>
      </c>
      <c r="I56" s="2">
        <v>9.0500000000000007</v>
      </c>
      <c r="J56" s="1">
        <v>60</v>
      </c>
      <c r="K56" t="s">
        <v>96</v>
      </c>
      <c r="L56" s="2">
        <v>4.25</v>
      </c>
      <c r="M56" s="2">
        <v>4.3</v>
      </c>
      <c r="N56" s="1">
        <v>346</v>
      </c>
      <c r="O56" s="1">
        <v>314</v>
      </c>
      <c r="Q56" s="4">
        <v>0</v>
      </c>
      <c r="R56" s="4">
        <v>0</v>
      </c>
      <c r="S56" s="4">
        <v>19.2</v>
      </c>
      <c r="T56" s="4" cm="1">
        <f t="array" ref="T56">_xlfn.IFS(L56&lt;=5,IF(ISNUMBER(X56)=TRUE,X56*1.79+AA56*1.8+Z56*5.56+50000*(10^-L56)-Q56,1.79+AA56*1.8+Z56*5.56+50000*(10^-L56)-Q56),L56&gt;5,IF(ISNUMBER(X56)=TRUE,X56*1.79+AA56*1.8+50000*(10^-L56)-Q56,AA56*1.8+50000*(10^-L56)-Q56))</f>
        <v>10.207016625951743</v>
      </c>
      <c r="W56" s="3">
        <v>0.30399999999999999</v>
      </c>
      <c r="X56" s="3">
        <v>0.109</v>
      </c>
      <c r="Z56" s="3">
        <v>1.1599999999999999</v>
      </c>
      <c r="AA56" s="3">
        <v>0.41699999999999998</v>
      </c>
      <c r="AB56" s="4">
        <v>133.18</v>
      </c>
      <c r="AC56" s="3">
        <v>34.700000000000003</v>
      </c>
      <c r="AD56" s="8">
        <v>12</v>
      </c>
      <c r="AE56" s="8">
        <v>2.1800000000000002</v>
      </c>
      <c r="AF56" s="3">
        <v>1.88</v>
      </c>
      <c r="AG56" s="3">
        <v>4</v>
      </c>
      <c r="AH56" s="2" t="s">
        <v>161</v>
      </c>
      <c r="AI56" s="2">
        <v>4.3999999999999997E-2</v>
      </c>
      <c r="AJ56" s="3" t="s">
        <v>159</v>
      </c>
      <c r="AN56" s="1">
        <f>S56*J56*0.012</f>
        <v>13.824</v>
      </c>
      <c r="AO56" s="1">
        <f>W56*J56*0.012</f>
        <v>0.21887999999999999</v>
      </c>
      <c r="AP56" s="1">
        <f>Z56*J56*0.012</f>
        <v>0.83519999999999994</v>
      </c>
      <c r="AQ56" s="1">
        <f>AA56*J56*0.012</f>
        <v>0.30024000000000001</v>
      </c>
      <c r="AR56" s="1">
        <f>AB56*J56*0.012</f>
        <v>95.889600000000002</v>
      </c>
      <c r="AS56" s="1">
        <f t="shared" si="0"/>
        <v>0</v>
      </c>
      <c r="AU56" s="13" t="str">
        <f>CONCATENATE(TEXT(ROUNDDOWN(ABS(F56),0),"00"),"° ",TEXT(ROUNDDOWN(ABS((F56-ROUNDDOWN(F56,0))*60),0),"00"),"' ",TEXT(TRUNC((ABS((F56-ROUNDDOWN(F56,0))*60)-ROUNDDOWN(ABS((F56-ROUNDDOWN(F56,0))*60),0))*60,2),"00.00"),"""",IF(F56&lt;0," S"," N"))</f>
        <v>40° 41' 09.88" N</v>
      </c>
      <c r="AV56" s="13" t="str">
        <f>CONCATENATE(TEXT(ROUNDDOWN(ABS(G56),0),"000"),"° ",TEXT(ROUNDDOWN(ABS((G56-ROUNDDOWN(G56,0))*60),0),"00"),"' ",TEXT(TRUNC((ABS((G56-ROUNDDOWN(G56,0))*60)-ROUNDDOWN(ABS((G56-ROUNDDOWN(G56,0))*60),0))*60,2),"00.00"),"""",IF(G56&lt;0," W"," E"))</f>
        <v>078° 57' 55.26" W</v>
      </c>
    </row>
    <row r="57" spans="1:48" x14ac:dyDescent="0.3">
      <c r="A57" s="5">
        <v>44903</v>
      </c>
      <c r="B57" s="12" t="s">
        <v>75</v>
      </c>
      <c r="C57" t="s">
        <v>76</v>
      </c>
      <c r="E57" t="s">
        <v>54</v>
      </c>
      <c r="F57" s="11">
        <v>40.686079999999997</v>
      </c>
      <c r="G57" s="11">
        <v>-78.965350000000001</v>
      </c>
      <c r="H57" t="s">
        <v>95</v>
      </c>
      <c r="I57" s="2">
        <v>9.0500000000000007</v>
      </c>
      <c r="J57" s="1">
        <v>100</v>
      </c>
      <c r="K57" t="s">
        <v>96</v>
      </c>
      <c r="L57" s="2">
        <v>4.3899999999999997</v>
      </c>
      <c r="M57" s="2">
        <v>4.5</v>
      </c>
      <c r="N57" s="1">
        <v>286</v>
      </c>
      <c r="O57" s="1">
        <v>294</v>
      </c>
      <c r="Q57" s="4">
        <v>0</v>
      </c>
      <c r="R57" s="4">
        <v>0</v>
      </c>
      <c r="S57" s="4">
        <v>19</v>
      </c>
      <c r="T57" s="4" cm="1">
        <f t="array" ref="T57">_xlfn.IFS(L57&lt;=5,IF(ISNUMBER(X57)=TRUE,X57*1.79+AA57*1.8+Z57*5.56+50000*(10^-L57)-Q57,1.79+AA57*1.8+Z57*5.56+50000*(10^-L57)-Q57),L57&gt;5,IF(ISNUMBER(X57)=TRUE,X57*1.79+AA57*1.8+50000*(10^-L57)-Q57,AA57*1.8+50000*(10^-L57)-Q57))</f>
        <v>10.941351389020562</v>
      </c>
      <c r="W57" s="3">
        <v>1.647</v>
      </c>
      <c r="X57" s="3">
        <v>0.127</v>
      </c>
      <c r="Z57" s="3">
        <v>1.4470000000000001</v>
      </c>
      <c r="AA57" s="3">
        <v>0.35099999999999998</v>
      </c>
      <c r="AC57" s="3">
        <v>26.89</v>
      </c>
      <c r="AD57" s="8">
        <v>9.74</v>
      </c>
      <c r="AE57" s="8">
        <v>1.41</v>
      </c>
      <c r="AF57" s="3">
        <v>1.79</v>
      </c>
      <c r="AG57" s="3">
        <v>4</v>
      </c>
      <c r="AH57" s="2" t="s">
        <v>161</v>
      </c>
      <c r="AI57" s="2">
        <v>4.1000000000000002E-2</v>
      </c>
      <c r="AJ57" s="3" t="s">
        <v>159</v>
      </c>
      <c r="AN57" s="1">
        <f>S57*J57*0.012</f>
        <v>22.8</v>
      </c>
      <c r="AO57" s="1">
        <f>W57*J57*0.012</f>
        <v>1.9763999999999999</v>
      </c>
      <c r="AP57" s="1">
        <f>Z57*J57*0.012</f>
        <v>1.7364000000000002</v>
      </c>
      <c r="AQ57" s="1">
        <f>AA57*J57*0.012</f>
        <v>0.42119999999999996</v>
      </c>
      <c r="AR57" s="1">
        <f>AB57*J57*0.012</f>
        <v>0</v>
      </c>
      <c r="AS57" s="1">
        <f t="shared" si="0"/>
        <v>0</v>
      </c>
      <c r="AU57" s="13"/>
      <c r="AV57" s="13"/>
    </row>
    <row r="58" spans="1:48" s="7" customFormat="1" x14ac:dyDescent="0.3">
      <c r="A58" s="45" t="s">
        <v>144</v>
      </c>
      <c r="B58" s="46"/>
      <c r="F58" s="47"/>
      <c r="G58" s="47"/>
      <c r="I58" s="15"/>
      <c r="J58" s="15">
        <f t="shared" ref="J58:K58" si="21">AVERAGE(J56:J57)</f>
        <v>80</v>
      </c>
      <c r="K58" s="15" t="e">
        <f t="shared" si="21"/>
        <v>#DIV/0!</v>
      </c>
      <c r="L58" s="15">
        <f>AVERAGE(L56:L57)</f>
        <v>4.32</v>
      </c>
      <c r="M58" s="15">
        <f t="shared" ref="M58:AS58" si="22">AVERAGE(M56:M57)</f>
        <v>4.4000000000000004</v>
      </c>
      <c r="N58" s="15">
        <f t="shared" si="22"/>
        <v>316</v>
      </c>
      <c r="O58" s="15">
        <f t="shared" si="22"/>
        <v>304</v>
      </c>
      <c r="P58" s="15"/>
      <c r="Q58" s="15">
        <f t="shared" si="22"/>
        <v>0</v>
      </c>
      <c r="R58" s="15">
        <f t="shared" si="22"/>
        <v>0</v>
      </c>
      <c r="S58" s="15">
        <f t="shared" si="22"/>
        <v>19.100000000000001</v>
      </c>
      <c r="T58" s="15">
        <f t="shared" si="22"/>
        <v>10.574184007486153</v>
      </c>
      <c r="U58" s="15"/>
      <c r="V58" s="15"/>
      <c r="W58" s="15">
        <f t="shared" si="22"/>
        <v>0.97550000000000003</v>
      </c>
      <c r="X58" s="15">
        <f t="shared" si="22"/>
        <v>0.11799999999999999</v>
      </c>
      <c r="Y58" s="15"/>
      <c r="Z58" s="15">
        <f t="shared" si="22"/>
        <v>1.3035000000000001</v>
      </c>
      <c r="AA58" s="15">
        <f t="shared" si="22"/>
        <v>0.38400000000000001</v>
      </c>
      <c r="AB58" s="15">
        <f t="shared" si="22"/>
        <v>133.18</v>
      </c>
      <c r="AC58" s="15">
        <f t="shared" si="22"/>
        <v>30.795000000000002</v>
      </c>
      <c r="AD58" s="15">
        <f t="shared" si="22"/>
        <v>10.870000000000001</v>
      </c>
      <c r="AE58" s="15">
        <f t="shared" si="22"/>
        <v>1.7949999999999999</v>
      </c>
      <c r="AF58" s="15">
        <f t="shared" si="22"/>
        <v>1.835</v>
      </c>
      <c r="AG58" s="15">
        <f t="shared" si="22"/>
        <v>4</v>
      </c>
      <c r="AH58" s="15" t="e">
        <f t="shared" si="22"/>
        <v>#DIV/0!</v>
      </c>
      <c r="AI58" s="15">
        <f t="shared" si="22"/>
        <v>4.2499999999999996E-2</v>
      </c>
      <c r="AJ58" s="15" t="e">
        <f t="shared" si="22"/>
        <v>#DIV/0!</v>
      </c>
      <c r="AK58" s="15"/>
      <c r="AL58" s="15"/>
      <c r="AM58" s="15"/>
      <c r="AN58" s="15">
        <f t="shared" si="22"/>
        <v>18.312000000000001</v>
      </c>
      <c r="AO58" s="15">
        <f t="shared" si="22"/>
        <v>1.0976399999999999</v>
      </c>
      <c r="AP58" s="15">
        <f t="shared" si="22"/>
        <v>1.2858000000000001</v>
      </c>
      <c r="AQ58" s="15">
        <f t="shared" si="22"/>
        <v>0.36071999999999999</v>
      </c>
      <c r="AR58" s="15">
        <f t="shared" si="22"/>
        <v>47.944800000000001</v>
      </c>
      <c r="AS58" s="15">
        <f t="shared" si="22"/>
        <v>0</v>
      </c>
      <c r="AU58" s="48"/>
      <c r="AV58" s="48"/>
    </row>
    <row r="59" spans="1:48" x14ac:dyDescent="0.3">
      <c r="F59" s="11"/>
      <c r="G59" s="11"/>
      <c r="AD59" s="8"/>
      <c r="AE59" s="8"/>
      <c r="AU59" s="13"/>
      <c r="AV59" s="13"/>
    </row>
    <row r="60" spans="1:48" x14ac:dyDescent="0.3">
      <c r="A60" s="5">
        <v>44846</v>
      </c>
      <c r="B60" s="12" t="s">
        <v>73</v>
      </c>
      <c r="C60" t="s">
        <v>74</v>
      </c>
      <c r="E60" t="s">
        <v>54</v>
      </c>
      <c r="F60" s="11">
        <v>40.684370000000001</v>
      </c>
      <c r="G60" s="11">
        <v>-78.963509999999999</v>
      </c>
      <c r="H60" t="s">
        <v>95</v>
      </c>
      <c r="I60" s="2">
        <v>8.93</v>
      </c>
      <c r="J60" s="1">
        <v>0</v>
      </c>
      <c r="K60" t="s">
        <v>96</v>
      </c>
      <c r="AD60" s="8"/>
      <c r="AE60" s="8"/>
      <c r="AN60" s="1">
        <f>S60*J60*0.012</f>
        <v>0</v>
      </c>
      <c r="AO60" s="1">
        <f>W60*J60*0.012</f>
        <v>0</v>
      </c>
      <c r="AP60" s="1">
        <f>Z60*J60*0.012</f>
        <v>0</v>
      </c>
      <c r="AQ60" s="1">
        <f>AA60*J60*0.012</f>
        <v>0</v>
      </c>
      <c r="AR60" s="1">
        <f>AB60*J60*0.012</f>
        <v>0</v>
      </c>
      <c r="AS60" s="1">
        <f t="shared" si="0"/>
        <v>0</v>
      </c>
      <c r="AU60" s="13" t="str">
        <f>CONCATENATE(TEXT(ROUNDDOWN(ABS(F60),0),"00"),"° ",TEXT(ROUNDDOWN(ABS((F60-ROUNDDOWN(F60,0))*60),0),"00"),"' ",TEXT(TRUNC((ABS((F60-ROUNDDOWN(F60,0))*60)-ROUNDDOWN(ABS((F60-ROUNDDOWN(F60,0))*60),0))*60,2),"00.00"),"""",IF(F60&lt;0," S"," N"))</f>
        <v>40° 41' 03.73" N</v>
      </c>
      <c r="AV60" s="13" t="str">
        <f>CONCATENATE(TEXT(ROUNDDOWN(ABS(G60),0),"000"),"° ",TEXT(ROUNDDOWN(ABS((G60-ROUNDDOWN(G60,0))*60),0),"00"),"' ",TEXT(TRUNC((ABS((G60-ROUNDDOWN(G60,0))*60)-ROUNDDOWN(ABS((G60-ROUNDDOWN(G60,0))*60),0))*60,2),"00.00"),"""",IF(G60&lt;0," W"," E"))</f>
        <v>078° 57' 48.63" W</v>
      </c>
    </row>
    <row r="61" spans="1:48" x14ac:dyDescent="0.3">
      <c r="A61" s="5">
        <v>44903</v>
      </c>
      <c r="B61" s="12" t="s">
        <v>73</v>
      </c>
      <c r="C61" t="s">
        <v>74</v>
      </c>
      <c r="E61" t="s">
        <v>54</v>
      </c>
      <c r="F61" s="11">
        <v>40.684370000000001</v>
      </c>
      <c r="G61" s="11">
        <v>-78.963509999999999</v>
      </c>
      <c r="H61" t="s">
        <v>95</v>
      </c>
      <c r="I61" s="2">
        <v>8.93</v>
      </c>
      <c r="J61" s="1">
        <v>30</v>
      </c>
      <c r="K61" t="s">
        <v>106</v>
      </c>
      <c r="L61" s="2">
        <v>5.56</v>
      </c>
      <c r="M61" s="2">
        <v>6.4</v>
      </c>
      <c r="N61" s="1">
        <v>94</v>
      </c>
      <c r="O61" s="1">
        <v>90.1</v>
      </c>
      <c r="Q61" s="4">
        <v>2</v>
      </c>
      <c r="R61" s="4">
        <v>7.4</v>
      </c>
      <c r="S61" s="4">
        <v>-1.4</v>
      </c>
      <c r="T61" s="4" cm="1">
        <f t="array" ref="T61">_xlfn.IFS(M61&lt;=5,IF(ISNUMBER(X61)=TRUE,X61*1.79+AA61*1.8+Z61*5.56+50000*(10^-M61)-Q61,1.79+AA61*1.8+Z61*5.56+50000*(10^-M61)-Q61),M61&gt;5,IF(ISNUMBER(X61)=TRUE,X61*1.79+AA61*1.8+50000*(10^-M61)-Q61,AA61*1.8+50000*(10^-M61)-Q61))</f>
        <v>-1.9620946414723253</v>
      </c>
      <c r="W61" s="3">
        <v>0.93200000000000005</v>
      </c>
      <c r="X61" s="3" t="s">
        <v>161</v>
      </c>
      <c r="Z61" s="52">
        <v>0.3</v>
      </c>
      <c r="AA61" s="3">
        <v>0.01</v>
      </c>
      <c r="AC61" s="3">
        <v>6.6260000000000003</v>
      </c>
      <c r="AD61" s="8">
        <v>2.68</v>
      </c>
      <c r="AE61" s="8">
        <v>4.8099999999999996</v>
      </c>
      <c r="AF61" s="3">
        <v>1.1499999999999999</v>
      </c>
      <c r="AG61" s="3">
        <v>6.5</v>
      </c>
      <c r="AH61" s="2" t="s">
        <v>161</v>
      </c>
      <c r="AI61" s="2" t="s">
        <v>162</v>
      </c>
      <c r="AJ61" s="3" t="s">
        <v>159</v>
      </c>
      <c r="AN61" s="1">
        <f>S61*J61*0.012</f>
        <v>-0.504</v>
      </c>
      <c r="AO61" s="1">
        <f>W61*J61*0.012</f>
        <v>0.33552000000000004</v>
      </c>
      <c r="AP61" s="1">
        <f>Z61*J61*0.012</f>
        <v>0.108</v>
      </c>
      <c r="AQ61" s="1">
        <f>AA61*J61*0.012</f>
        <v>3.5999999999999999E-3</v>
      </c>
      <c r="AR61" s="1">
        <f>AB61*J61*0.012</f>
        <v>0</v>
      </c>
      <c r="AS61" s="1">
        <f t="shared" si="0"/>
        <v>2.6640000000000001</v>
      </c>
      <c r="AU61" s="13"/>
      <c r="AV61" s="13"/>
    </row>
    <row r="62" spans="1:48" s="7" customFormat="1" x14ac:dyDescent="0.3">
      <c r="A62" s="45" t="s">
        <v>144</v>
      </c>
      <c r="B62" s="46"/>
      <c r="F62" s="47"/>
      <c r="G62" s="47"/>
      <c r="I62" s="15"/>
      <c r="J62" s="15">
        <f t="shared" ref="J62:K62" si="23">AVERAGE(J60:J61)</f>
        <v>15</v>
      </c>
      <c r="K62" s="15" t="e">
        <f t="shared" si="23"/>
        <v>#DIV/0!</v>
      </c>
      <c r="L62" s="15">
        <f>AVERAGE(L60:L61)</f>
        <v>5.56</v>
      </c>
      <c r="M62" s="15">
        <f t="shared" ref="M62:AS62" si="24">AVERAGE(M60:M61)</f>
        <v>6.4</v>
      </c>
      <c r="N62" s="15">
        <f t="shared" si="24"/>
        <v>94</v>
      </c>
      <c r="O62" s="15">
        <f t="shared" si="24"/>
        <v>90.1</v>
      </c>
      <c r="P62" s="15"/>
      <c r="Q62" s="15">
        <f t="shared" si="24"/>
        <v>2</v>
      </c>
      <c r="R62" s="15">
        <f t="shared" si="24"/>
        <v>7.4</v>
      </c>
      <c r="S62" s="15">
        <f t="shared" si="24"/>
        <v>-1.4</v>
      </c>
      <c r="T62" s="15">
        <f t="shared" si="24"/>
        <v>-1.9620946414723253</v>
      </c>
      <c r="U62" s="15"/>
      <c r="V62" s="15"/>
      <c r="W62" s="15">
        <f t="shared" si="24"/>
        <v>0.93200000000000005</v>
      </c>
      <c r="X62" s="15" t="e">
        <f t="shared" si="24"/>
        <v>#DIV/0!</v>
      </c>
      <c r="Y62" s="15"/>
      <c r="Z62" s="15">
        <f t="shared" si="24"/>
        <v>0.3</v>
      </c>
      <c r="AA62" s="15">
        <f t="shared" si="24"/>
        <v>0.01</v>
      </c>
      <c r="AB62" s="15" t="e">
        <f t="shared" si="24"/>
        <v>#DIV/0!</v>
      </c>
      <c r="AC62" s="15">
        <f t="shared" si="24"/>
        <v>6.6260000000000003</v>
      </c>
      <c r="AD62" s="15">
        <f t="shared" si="24"/>
        <v>2.68</v>
      </c>
      <c r="AE62" s="15">
        <f t="shared" si="24"/>
        <v>4.8099999999999996</v>
      </c>
      <c r="AF62" s="15">
        <f t="shared" si="24"/>
        <v>1.1499999999999999</v>
      </c>
      <c r="AG62" s="15">
        <f t="shared" si="24"/>
        <v>6.5</v>
      </c>
      <c r="AH62" s="15" t="e">
        <f t="shared" si="24"/>
        <v>#DIV/0!</v>
      </c>
      <c r="AI62" s="15" t="e">
        <f t="shared" si="24"/>
        <v>#DIV/0!</v>
      </c>
      <c r="AJ62" s="15" t="e">
        <f t="shared" si="24"/>
        <v>#DIV/0!</v>
      </c>
      <c r="AK62" s="15"/>
      <c r="AL62" s="15"/>
      <c r="AM62" s="15"/>
      <c r="AN62" s="15">
        <f t="shared" si="24"/>
        <v>-0.252</v>
      </c>
      <c r="AO62" s="15">
        <f t="shared" si="24"/>
        <v>0.16776000000000002</v>
      </c>
      <c r="AP62" s="15">
        <f t="shared" si="24"/>
        <v>5.3999999999999999E-2</v>
      </c>
      <c r="AQ62" s="15">
        <f t="shared" si="24"/>
        <v>1.8E-3</v>
      </c>
      <c r="AR62" s="15">
        <f t="shared" si="24"/>
        <v>0</v>
      </c>
      <c r="AS62" s="15">
        <f t="shared" si="24"/>
        <v>1.3320000000000001</v>
      </c>
      <c r="AU62" s="48"/>
      <c r="AV62" s="48"/>
    </row>
    <row r="63" spans="1:48" x14ac:dyDescent="0.3">
      <c r="F63" s="11"/>
      <c r="G63" s="11"/>
      <c r="AD63" s="8"/>
      <c r="AE63" s="8"/>
      <c r="AU63" s="13"/>
      <c r="AV63" s="13"/>
    </row>
    <row r="64" spans="1:48" x14ac:dyDescent="0.3">
      <c r="A64" s="5">
        <v>35998</v>
      </c>
      <c r="C64" t="s">
        <v>194</v>
      </c>
      <c r="E64" t="s">
        <v>602</v>
      </c>
      <c r="F64" s="11"/>
      <c r="G64" s="11"/>
      <c r="H64" t="s">
        <v>175</v>
      </c>
      <c r="J64" s="1">
        <v>5330</v>
      </c>
      <c r="M64" s="2">
        <v>6.8</v>
      </c>
      <c r="R64" s="4">
        <v>38</v>
      </c>
      <c r="W64" s="3">
        <v>1.7</v>
      </c>
      <c r="X64" s="3">
        <v>0.3</v>
      </c>
      <c r="Z64" s="3">
        <v>1.1000000000000001</v>
      </c>
      <c r="AA64" s="3">
        <v>0.4</v>
      </c>
      <c r="AB64" s="4">
        <v>123</v>
      </c>
      <c r="AD64" s="8"/>
      <c r="AE64" s="8"/>
      <c r="AS64" s="1">
        <f t="shared" si="0"/>
        <v>2430.48</v>
      </c>
      <c r="AU64" s="13"/>
      <c r="AV64" s="13"/>
    </row>
    <row r="65" spans="1:48" x14ac:dyDescent="0.3">
      <c r="A65" s="5">
        <v>37406</v>
      </c>
      <c r="C65" t="s">
        <v>195</v>
      </c>
      <c r="E65" t="s">
        <v>602</v>
      </c>
      <c r="H65" t="s">
        <v>177</v>
      </c>
      <c r="M65" s="2">
        <v>6.74</v>
      </c>
      <c r="R65" s="4">
        <v>22.2</v>
      </c>
      <c r="W65" s="3">
        <v>0.61</v>
      </c>
      <c r="Z65" s="3">
        <v>0.59</v>
      </c>
      <c r="AA65" s="3">
        <v>0.28000000000000003</v>
      </c>
      <c r="AB65" s="4">
        <v>122</v>
      </c>
    </row>
    <row r="66" spans="1:48" x14ac:dyDescent="0.3">
      <c r="A66" s="5">
        <v>37435</v>
      </c>
      <c r="C66" t="s">
        <v>195</v>
      </c>
      <c r="E66" t="s">
        <v>602</v>
      </c>
      <c r="F66" s="11"/>
      <c r="G66" s="11"/>
      <c r="H66" t="s">
        <v>177</v>
      </c>
      <c r="M66" s="2">
        <v>6.71</v>
      </c>
      <c r="R66" s="4">
        <v>32</v>
      </c>
      <c r="W66" s="3">
        <v>0.56999999999999995</v>
      </c>
      <c r="Z66" s="3">
        <v>1.1599999999999999</v>
      </c>
      <c r="AA66" s="3">
        <v>0.39</v>
      </c>
      <c r="AB66" s="4">
        <v>163.69999999999999</v>
      </c>
      <c r="AD66" s="8"/>
      <c r="AE66" s="8"/>
      <c r="AU66" s="13"/>
      <c r="AV66" s="13"/>
    </row>
    <row r="67" spans="1:48" x14ac:dyDescent="0.3">
      <c r="A67" s="5">
        <v>37463</v>
      </c>
      <c r="C67" t="s">
        <v>195</v>
      </c>
      <c r="E67" t="s">
        <v>602</v>
      </c>
      <c r="F67" s="11"/>
      <c r="G67" s="11"/>
      <c r="H67" t="s">
        <v>177</v>
      </c>
      <c r="M67" s="2">
        <v>7.19</v>
      </c>
      <c r="R67" s="4">
        <v>40</v>
      </c>
      <c r="W67" s="3">
        <v>0.71</v>
      </c>
      <c r="Z67" s="3">
        <v>0.72</v>
      </c>
      <c r="AA67" s="3">
        <v>0.43</v>
      </c>
      <c r="AB67" s="4">
        <v>218.1</v>
      </c>
      <c r="AD67" s="8"/>
      <c r="AE67" s="8"/>
    </row>
    <row r="68" spans="1:48" x14ac:dyDescent="0.3">
      <c r="A68" s="5">
        <v>37508</v>
      </c>
      <c r="C68" t="s">
        <v>195</v>
      </c>
      <c r="E68" t="s">
        <v>602</v>
      </c>
      <c r="H68" t="s">
        <v>177</v>
      </c>
      <c r="M68" s="2">
        <v>6.88</v>
      </c>
      <c r="R68" s="4">
        <v>42.6</v>
      </c>
      <c r="W68" s="3">
        <v>0.89</v>
      </c>
      <c r="Z68" s="3">
        <v>2.5</v>
      </c>
      <c r="AA68" s="3">
        <v>0.45</v>
      </c>
      <c r="AB68" s="4">
        <v>233.5</v>
      </c>
    </row>
    <row r="69" spans="1:48" x14ac:dyDescent="0.3">
      <c r="A69" s="5">
        <v>37529</v>
      </c>
      <c r="C69" t="s">
        <v>195</v>
      </c>
      <c r="E69" t="s">
        <v>602</v>
      </c>
      <c r="F69" s="11"/>
      <c r="G69" s="11"/>
      <c r="H69" t="s">
        <v>177</v>
      </c>
      <c r="M69" s="2">
        <v>7.35</v>
      </c>
      <c r="R69" s="4">
        <v>42.8</v>
      </c>
      <c r="W69" s="3">
        <v>0.6</v>
      </c>
      <c r="Z69" s="3">
        <v>0.18</v>
      </c>
      <c r="AA69" s="3">
        <v>0.61</v>
      </c>
      <c r="AB69" s="4">
        <v>207.1</v>
      </c>
      <c r="AD69" s="8"/>
      <c r="AE69" s="8"/>
      <c r="AU69" s="13"/>
      <c r="AV69" s="13"/>
    </row>
    <row r="70" spans="1:48" x14ac:dyDescent="0.3">
      <c r="A70" s="5">
        <v>37559</v>
      </c>
      <c r="C70" t="s">
        <v>195</v>
      </c>
      <c r="E70" t="s">
        <v>602</v>
      </c>
      <c r="F70" s="11"/>
      <c r="G70" s="11"/>
      <c r="H70" t="s">
        <v>177</v>
      </c>
      <c r="M70" s="2">
        <v>6.87</v>
      </c>
      <c r="R70" s="4">
        <v>36.799999999999997</v>
      </c>
      <c r="W70" s="3">
        <v>1.1100000000000001</v>
      </c>
      <c r="Z70" s="3" t="s">
        <v>185</v>
      </c>
      <c r="AA70" s="3">
        <v>0.88</v>
      </c>
      <c r="AB70" s="4">
        <v>126</v>
      </c>
      <c r="AD70" s="8"/>
      <c r="AE70" s="8"/>
    </row>
    <row r="71" spans="1:48" x14ac:dyDescent="0.3">
      <c r="A71" s="5">
        <v>37586</v>
      </c>
      <c r="C71" t="s">
        <v>195</v>
      </c>
      <c r="E71" t="s">
        <v>602</v>
      </c>
      <c r="H71" t="s">
        <v>177</v>
      </c>
      <c r="M71" s="2">
        <v>6.79</v>
      </c>
      <c r="R71" s="4">
        <v>28.9</v>
      </c>
      <c r="W71" s="3">
        <v>0.53</v>
      </c>
      <c r="Z71" s="3">
        <v>0.32</v>
      </c>
      <c r="AA71" s="3">
        <v>0.36</v>
      </c>
      <c r="AB71" s="4">
        <v>143.80000000000001</v>
      </c>
    </row>
    <row r="72" spans="1:48" x14ac:dyDescent="0.3">
      <c r="A72" s="5">
        <v>37613</v>
      </c>
      <c r="C72" t="s">
        <v>195</v>
      </c>
      <c r="E72" t="s">
        <v>602</v>
      </c>
      <c r="F72" s="11"/>
      <c r="G72" s="11"/>
      <c r="H72" t="s">
        <v>177</v>
      </c>
      <c r="M72" s="2">
        <v>6.7</v>
      </c>
      <c r="R72" s="4">
        <v>15.8</v>
      </c>
      <c r="W72" s="3">
        <v>0.4</v>
      </c>
      <c r="Z72" s="3">
        <v>0.18</v>
      </c>
      <c r="AA72" s="3">
        <v>0.21</v>
      </c>
      <c r="AB72" s="4">
        <v>83.5</v>
      </c>
      <c r="AD72" s="8"/>
      <c r="AE72" s="8"/>
      <c r="AU72" s="13"/>
      <c r="AV72" s="13"/>
    </row>
    <row r="73" spans="1:48" x14ac:dyDescent="0.3">
      <c r="A73" s="5">
        <v>37651</v>
      </c>
      <c r="C73" t="s">
        <v>195</v>
      </c>
      <c r="E73" t="s">
        <v>602</v>
      </c>
      <c r="F73" s="11"/>
      <c r="G73" s="11"/>
      <c r="H73" t="s">
        <v>177</v>
      </c>
      <c r="M73" s="2">
        <v>6.72</v>
      </c>
      <c r="R73" s="4">
        <v>29</v>
      </c>
      <c r="W73" s="3">
        <v>0.71</v>
      </c>
      <c r="Z73" s="3">
        <v>0.5</v>
      </c>
      <c r="AA73" s="3">
        <v>0.46</v>
      </c>
      <c r="AB73" s="4">
        <v>182.4</v>
      </c>
      <c r="AD73" s="8"/>
      <c r="AE73" s="8"/>
    </row>
    <row r="74" spans="1:48" x14ac:dyDescent="0.3">
      <c r="A74" s="5">
        <v>37684</v>
      </c>
      <c r="C74" t="s">
        <v>195</v>
      </c>
      <c r="E74" t="s">
        <v>602</v>
      </c>
      <c r="H74" t="s">
        <v>177</v>
      </c>
      <c r="M74" s="2">
        <v>7.06</v>
      </c>
      <c r="R74" s="4">
        <v>21.4</v>
      </c>
      <c r="W74" s="3">
        <v>0.51</v>
      </c>
      <c r="Z74" s="3">
        <v>0.54</v>
      </c>
      <c r="AA74" s="3">
        <v>0.27</v>
      </c>
      <c r="AB74" s="4">
        <v>117.3</v>
      </c>
    </row>
    <row r="75" spans="1:48" x14ac:dyDescent="0.3">
      <c r="A75" s="5">
        <v>37710</v>
      </c>
      <c r="C75" t="s">
        <v>195</v>
      </c>
      <c r="E75" t="s">
        <v>602</v>
      </c>
      <c r="F75" s="11"/>
      <c r="G75" s="11"/>
      <c r="H75" t="s">
        <v>177</v>
      </c>
      <c r="M75" s="2">
        <v>6.64</v>
      </c>
      <c r="R75" s="4">
        <v>21.9</v>
      </c>
      <c r="W75" s="3">
        <v>0.67</v>
      </c>
      <c r="Z75" s="3">
        <v>1.05</v>
      </c>
      <c r="AA75" s="3">
        <v>0.32</v>
      </c>
      <c r="AB75" s="4">
        <v>132.30000000000001</v>
      </c>
      <c r="AD75" s="8"/>
      <c r="AE75" s="8"/>
      <c r="AU75" s="13"/>
      <c r="AV75" s="13"/>
    </row>
    <row r="76" spans="1:48" x14ac:dyDescent="0.3">
      <c r="A76" s="5">
        <v>37741</v>
      </c>
      <c r="C76" t="s">
        <v>195</v>
      </c>
      <c r="E76" t="s">
        <v>602</v>
      </c>
      <c r="F76" s="11"/>
      <c r="G76" s="11"/>
      <c r="H76" t="s">
        <v>177</v>
      </c>
      <c r="M76" s="2">
        <v>7.26</v>
      </c>
      <c r="R76" s="4">
        <v>27</v>
      </c>
      <c r="W76" s="3">
        <v>0.47</v>
      </c>
      <c r="Z76" s="3" t="s">
        <v>185</v>
      </c>
      <c r="AA76" s="3">
        <v>0.39</v>
      </c>
      <c r="AB76" s="4">
        <v>179.4</v>
      </c>
      <c r="AD76" s="8"/>
      <c r="AE76" s="8"/>
    </row>
    <row r="77" spans="1:48" x14ac:dyDescent="0.3">
      <c r="A77" s="5">
        <v>44845</v>
      </c>
      <c r="B77" s="12" t="s">
        <v>48</v>
      </c>
      <c r="C77" t="s">
        <v>49</v>
      </c>
      <c r="E77" t="s">
        <v>602</v>
      </c>
      <c r="F77" s="11">
        <v>40.67557</v>
      </c>
      <c r="G77" s="11">
        <v>-78.963009999999997</v>
      </c>
      <c r="H77" t="s">
        <v>93</v>
      </c>
      <c r="I77" s="2">
        <v>8.39</v>
      </c>
      <c r="J77" s="1">
        <f>4.23*449</f>
        <v>1899.2700000000002</v>
      </c>
      <c r="K77" t="s">
        <v>96</v>
      </c>
      <c r="L77" s="2">
        <v>7.95</v>
      </c>
      <c r="M77" s="2">
        <v>7.5</v>
      </c>
      <c r="N77" s="1">
        <v>436</v>
      </c>
      <c r="O77" s="1">
        <v>440</v>
      </c>
      <c r="P77" s="3">
        <v>9</v>
      </c>
      <c r="Q77" s="4">
        <f>AVERAGE(68,67)</f>
        <v>67.5</v>
      </c>
      <c r="R77" s="4">
        <v>63.8</v>
      </c>
      <c r="S77" s="4">
        <v>-51.6</v>
      </c>
      <c r="T77" s="4" cm="1">
        <f t="array" ref="T77">_xlfn.IFS(L77&lt;=5,IF(ISNUMBER(X77)=TRUE,X77*1.79+AA77*1.8+Z77*5.56+50000*(10^-L77)-Q77,1.79+AA77*1.8+Z77*5.56+50000*(10^-L77)-Q77),L77&gt;5,IF(ISNUMBER(X77)=TRUE,X77*1.79+AA77*1.8+50000*(10^-L77)-Q77,AA77*1.8+50000*(10^-L77)-Q77))</f>
        <v>-66.949708990772848</v>
      </c>
      <c r="U77" s="2">
        <v>11.28</v>
      </c>
      <c r="V77" s="2">
        <v>97.2</v>
      </c>
      <c r="W77" s="3">
        <v>0.317</v>
      </c>
      <c r="X77" s="3">
        <v>0.107</v>
      </c>
      <c r="Z77" s="52">
        <v>0.3</v>
      </c>
      <c r="AA77" s="3">
        <v>0.19900000000000001</v>
      </c>
      <c r="AB77" s="4">
        <v>145.83000000000001</v>
      </c>
      <c r="AC77" s="3">
        <v>52.15</v>
      </c>
      <c r="AD77" s="8">
        <v>15.19</v>
      </c>
      <c r="AE77" s="8">
        <v>12.32</v>
      </c>
      <c r="AF77" s="3">
        <v>2.16</v>
      </c>
      <c r="AG77" s="3">
        <v>10.3</v>
      </c>
      <c r="AH77" s="2" t="s">
        <v>161</v>
      </c>
      <c r="AI77" s="2" t="s">
        <v>162</v>
      </c>
      <c r="AJ77" s="3" t="s">
        <v>159</v>
      </c>
      <c r="AN77" s="1">
        <f>S77*J77*0.012</f>
        <v>-1176.0279840000001</v>
      </c>
      <c r="AO77" s="1">
        <f>W77*J77*0.012</f>
        <v>7.2248230800000011</v>
      </c>
      <c r="AP77" s="1">
        <f>Z77*J77*0.012</f>
        <v>6.8373720000000011</v>
      </c>
      <c r="AQ77" s="1">
        <f>AA77*J77*0.012</f>
        <v>4.5354567600000006</v>
      </c>
      <c r="AR77" s="1">
        <f>AB77*J77*0.012</f>
        <v>3323.6465292000007</v>
      </c>
      <c r="AS77" s="1">
        <f t="shared" ref="AS77:AS135" si="25">0.012*R77*J77</f>
        <v>1454.0811120000001</v>
      </c>
      <c r="AT77" t="s">
        <v>100</v>
      </c>
      <c r="AU77" s="13" t="str">
        <f>CONCATENATE(TEXT(ROUNDDOWN(ABS(F77),0),"00"),"° ",TEXT(ROUNDDOWN(ABS((F77-ROUNDDOWN(F77,0))*60),0),"00"),"' ",TEXT(TRUNC((ABS((F77-ROUNDDOWN(F77,0))*60)-ROUNDDOWN(ABS((F77-ROUNDDOWN(F77,0))*60),0))*60,2),"00.00"),"""",IF(F77&lt;0," S"," N"))</f>
        <v>40° 40' 32.05" N</v>
      </c>
      <c r="AV77" s="13" t="str">
        <f>CONCATENATE(TEXT(ROUNDDOWN(ABS(G77),0),"000"),"° ",TEXT(ROUNDDOWN(ABS((G77-ROUNDDOWN(G77,0))*60),0),"00"),"' ",TEXT(TRUNC((ABS((G77-ROUNDDOWN(G77,0))*60)-ROUNDDOWN(ABS((G77-ROUNDDOWN(G77,0))*60),0))*60,2),"00.00"),"""",IF(G77&lt;0," W"," E"))</f>
        <v>078° 57' 46.83" W</v>
      </c>
    </row>
    <row r="78" spans="1:48" x14ac:dyDescent="0.3">
      <c r="A78" s="5">
        <v>44903</v>
      </c>
      <c r="B78" s="12" t="s">
        <v>48</v>
      </c>
      <c r="C78" t="s">
        <v>49</v>
      </c>
      <c r="E78" t="s">
        <v>602</v>
      </c>
      <c r="F78" s="11">
        <v>40.67557</v>
      </c>
      <c r="G78" s="11">
        <v>-78.963009999999997</v>
      </c>
      <c r="H78" t="s">
        <v>93</v>
      </c>
      <c r="I78" s="2">
        <v>8.39</v>
      </c>
      <c r="J78" s="1">
        <v>6659</v>
      </c>
      <c r="K78" t="s">
        <v>96</v>
      </c>
      <c r="L78" s="2">
        <v>7.5</v>
      </c>
      <c r="M78" s="2">
        <v>7.3</v>
      </c>
      <c r="N78" s="1">
        <v>294</v>
      </c>
      <c r="O78" s="1">
        <v>291</v>
      </c>
      <c r="P78" s="3">
        <v>5</v>
      </c>
      <c r="Q78" s="4">
        <v>52</v>
      </c>
      <c r="R78" s="4">
        <v>48.2</v>
      </c>
      <c r="S78" s="4">
        <v>-33.4</v>
      </c>
      <c r="T78" s="4" cm="1">
        <f t="array" ref="T78">_xlfn.IFS(L78&lt;=5,IF(ISNUMBER(X78)=TRUE,X78*1.79+AA78*1.8+Z78*5.56+50000*(10^-L78)-Q78,1.79+AA78*1.8+Z78*5.56+50000*(10^-L78)-Q78),L78&gt;5,IF(ISNUMBER(X78)=TRUE,X78*1.79+AA78*1.8+50000*(10^-L78)-Q78,AA78*1.8+50000*(10^-L78)-Q78))</f>
        <v>-51.637208861169917</v>
      </c>
      <c r="U78" s="2">
        <v>11.25</v>
      </c>
      <c r="V78" s="2">
        <v>95.1</v>
      </c>
      <c r="W78" s="3">
        <v>0.35</v>
      </c>
      <c r="X78" s="3">
        <v>5.8999999999999997E-2</v>
      </c>
      <c r="Z78" s="52">
        <v>0.3</v>
      </c>
      <c r="AA78" s="3">
        <v>0.14199999999999999</v>
      </c>
      <c r="AC78" s="3">
        <v>33.1</v>
      </c>
      <c r="AD78" s="8">
        <v>9.2799999999999994</v>
      </c>
      <c r="AE78" s="8">
        <v>8.6300000000000008</v>
      </c>
      <c r="AF78" s="3">
        <v>1.74</v>
      </c>
      <c r="AG78" s="3">
        <v>9.6</v>
      </c>
      <c r="AH78" s="2" t="s">
        <v>161</v>
      </c>
      <c r="AI78" s="2" t="s">
        <v>162</v>
      </c>
      <c r="AJ78" s="3" t="s">
        <v>159</v>
      </c>
      <c r="AN78" s="1">
        <f>S78*J78*0.012</f>
        <v>-2668.9271999999996</v>
      </c>
      <c r="AO78" s="1">
        <f>W78*J78*0.012</f>
        <v>27.967799999999997</v>
      </c>
      <c r="AP78" s="1">
        <f>Z78*J78*0.012</f>
        <v>23.972399999999997</v>
      </c>
      <c r="AQ78" s="1">
        <f>AA78*J78*0.012</f>
        <v>11.346935999999998</v>
      </c>
      <c r="AR78" s="1">
        <f>AB78*J78*0.012</f>
        <v>0</v>
      </c>
      <c r="AS78" s="1">
        <f t="shared" si="25"/>
        <v>3851.5656000000004</v>
      </c>
      <c r="AU78" s="13"/>
      <c r="AV78" s="13"/>
    </row>
    <row r="79" spans="1:48" x14ac:dyDescent="0.3">
      <c r="A79" s="5">
        <v>44964</v>
      </c>
      <c r="B79" s="12" t="s">
        <v>48</v>
      </c>
      <c r="C79" t="s">
        <v>49</v>
      </c>
      <c r="E79" t="s">
        <v>602</v>
      </c>
      <c r="F79" s="11">
        <v>40.67557</v>
      </c>
      <c r="G79" s="11">
        <v>-78.963009999999997</v>
      </c>
      <c r="H79" t="s">
        <v>241</v>
      </c>
      <c r="J79" s="1" t="s">
        <v>219</v>
      </c>
      <c r="L79" s="2">
        <v>7.29</v>
      </c>
      <c r="M79" s="2">
        <v>7.2</v>
      </c>
      <c r="N79" s="1">
        <v>317</v>
      </c>
      <c r="O79" s="1">
        <v>234</v>
      </c>
      <c r="Q79" s="4">
        <v>80</v>
      </c>
      <c r="R79" s="4">
        <v>80</v>
      </c>
      <c r="S79" s="4">
        <v>-72.8</v>
      </c>
      <c r="T79" s="4" cm="1">
        <f t="array" ref="T79">_xlfn.IFS(L79&lt;=5,IF(ISNUMBER(X88)=TRUE,X88*1.79+AA88*1.8+Z88*5.56+50000*(10^-L79)-Q79,1.79+AA88*1.8+Z88*5.56+50000*(10^-L79)-Q79),L79&gt;5,IF(ISNUMBER(X88)=TRUE,X88*1.79+AA88*1.8+50000*(10^-L79)-Q79,AA88*1.8+50000*(10^-L79)-Q79))</f>
        <v>-79.848535693080038</v>
      </c>
      <c r="W79" s="3">
        <v>0.317</v>
      </c>
      <c r="X79" s="3">
        <v>0.05</v>
      </c>
      <c r="Z79" s="52">
        <v>0.3</v>
      </c>
      <c r="AA79" s="3">
        <v>0.19800000000000001</v>
      </c>
      <c r="AB79" s="4">
        <v>101.61</v>
      </c>
      <c r="AC79" s="3">
        <v>38.83</v>
      </c>
      <c r="AD79" s="8">
        <v>11.65</v>
      </c>
      <c r="AE79" s="8">
        <v>9.19</v>
      </c>
      <c r="AF79" s="3">
        <v>1.68</v>
      </c>
      <c r="AG79" s="3">
        <v>9.6999999999999993</v>
      </c>
      <c r="AH79" s="2" t="s">
        <v>161</v>
      </c>
      <c r="AI79" s="2" t="s">
        <v>162</v>
      </c>
      <c r="AJ79" s="3" t="s">
        <v>159</v>
      </c>
      <c r="AU79" s="13"/>
      <c r="AV79" s="13"/>
    </row>
    <row r="80" spans="1:48" x14ac:dyDescent="0.3">
      <c r="A80" s="5">
        <v>45022</v>
      </c>
      <c r="B80" s="12" t="s">
        <v>85</v>
      </c>
      <c r="C80" t="s">
        <v>49</v>
      </c>
      <c r="E80" t="s">
        <v>602</v>
      </c>
      <c r="F80" s="11">
        <v>40.67557</v>
      </c>
      <c r="G80" s="11">
        <v>-78.963009999999997</v>
      </c>
      <c r="H80" t="s">
        <v>241</v>
      </c>
      <c r="J80" s="1" t="s">
        <v>219</v>
      </c>
      <c r="L80" s="2">
        <v>7.52</v>
      </c>
      <c r="M80" s="2">
        <v>6.8</v>
      </c>
      <c r="N80" s="1">
        <v>275</v>
      </c>
      <c r="O80" s="1">
        <v>194</v>
      </c>
      <c r="Q80" s="4">
        <v>39</v>
      </c>
      <c r="R80" s="4">
        <v>42.6</v>
      </c>
      <c r="S80" s="4">
        <v>-29.4</v>
      </c>
      <c r="T80" s="4" cm="1">
        <f t="array" ref="T80">_xlfn.IFS(L80&lt;=5,IF(ISNUMBER(X89)=TRUE,X89*1.79+AA89*1.8+Z89*5.56+50000*(10^-L80)-Q80,1.79+AA89*1.8+Z89*5.56+50000*(10^-L80)-Q80),L80&gt;5,IF(ISNUMBER(X89)=TRUE,X89*1.79+AA89*1.8+50000*(10^-L80)-Q80,AA89*1.8+50000*(10^-L80)-Q80))</f>
        <v>-38.826300024139798</v>
      </c>
      <c r="W80" s="3">
        <v>0.312</v>
      </c>
      <c r="X80" s="3">
        <v>0.05</v>
      </c>
      <c r="Z80" s="3">
        <v>0.3</v>
      </c>
      <c r="AA80" s="3">
        <v>0.12</v>
      </c>
      <c r="AB80" s="4">
        <v>84.79</v>
      </c>
      <c r="AC80" s="3">
        <v>29.06</v>
      </c>
      <c r="AD80" s="8">
        <v>9.0399999999999991</v>
      </c>
      <c r="AE80" s="8">
        <v>7.28</v>
      </c>
      <c r="AF80" s="3">
        <v>1.66</v>
      </c>
      <c r="AG80" s="3">
        <v>8.6</v>
      </c>
      <c r="AH80" s="2" t="s">
        <v>161</v>
      </c>
      <c r="AI80" s="2" t="s">
        <v>162</v>
      </c>
      <c r="AJ80" s="3" t="s">
        <v>159</v>
      </c>
      <c r="AU80" s="13"/>
      <c r="AV80" s="13"/>
    </row>
    <row r="81" spans="1:48" x14ac:dyDescent="0.3">
      <c r="A81" s="5">
        <v>45098</v>
      </c>
      <c r="B81" s="12" t="s">
        <v>266</v>
      </c>
      <c r="C81" t="s">
        <v>49</v>
      </c>
      <c r="E81" t="s">
        <v>602</v>
      </c>
      <c r="F81" s="11">
        <v>40.67557</v>
      </c>
      <c r="G81" s="11">
        <v>-78.963009999999997</v>
      </c>
      <c r="H81" t="s">
        <v>241</v>
      </c>
      <c r="J81" s="1" t="s">
        <v>219</v>
      </c>
      <c r="L81" s="2">
        <v>7.71</v>
      </c>
      <c r="M81" s="2">
        <v>6.8</v>
      </c>
      <c r="N81" s="1">
        <v>485</v>
      </c>
      <c r="O81" s="1">
        <v>463</v>
      </c>
      <c r="P81" s="3">
        <v>15.7</v>
      </c>
      <c r="Q81" s="4">
        <v>60</v>
      </c>
      <c r="R81" s="4">
        <v>67</v>
      </c>
      <c r="S81" s="4">
        <v>-54.2</v>
      </c>
      <c r="T81" s="4" cm="1">
        <f t="array" ref="T81">_xlfn.IFS(L81&lt;=5,IF(ISNUMBER(X90)=TRUE,X90*1.79+AA90*1.8+Z90*5.56+50000*(10^-L81)-Q81,1.79+AA90*1.8+Z90*5.56+50000*(10^-L81)-Q81),L81&gt;5,IF(ISNUMBER(X90)=TRUE,X90*1.79+AA90*1.8+50000*(10^-L81)-Q81,AA90*1.8+50000*(10^-L81)-Q81))</f>
        <v>-59.783525077700119</v>
      </c>
      <c r="W81" s="3">
        <v>0.222</v>
      </c>
      <c r="X81" s="3">
        <v>0.05</v>
      </c>
      <c r="Z81" s="3">
        <v>0.3</v>
      </c>
      <c r="AA81" s="3">
        <v>0.125</v>
      </c>
      <c r="AB81" s="4">
        <v>149.59</v>
      </c>
      <c r="AC81" s="3">
        <v>55.95</v>
      </c>
      <c r="AD81" s="8">
        <v>16.11</v>
      </c>
      <c r="AE81" s="8">
        <v>12.9</v>
      </c>
      <c r="AF81" s="3">
        <v>2.2999999999999998</v>
      </c>
      <c r="AG81" s="3">
        <v>10.6</v>
      </c>
      <c r="AH81" s="2">
        <v>0.05</v>
      </c>
      <c r="AI81" s="2">
        <v>0.03</v>
      </c>
      <c r="AJ81" s="3">
        <v>0.2</v>
      </c>
      <c r="AU81" s="13"/>
      <c r="AV81" s="13"/>
    </row>
    <row r="82" spans="1:48" x14ac:dyDescent="0.3">
      <c r="A82" s="5">
        <v>45169</v>
      </c>
      <c r="B82" s="12" t="s">
        <v>266</v>
      </c>
      <c r="C82" t="s">
        <v>49</v>
      </c>
      <c r="E82" t="s">
        <v>602</v>
      </c>
      <c r="F82" s="11">
        <v>40.67557</v>
      </c>
      <c r="G82" s="11">
        <v>-78.963009999999997</v>
      </c>
      <c r="H82" t="s">
        <v>241</v>
      </c>
      <c r="J82" s="1" t="s">
        <v>219</v>
      </c>
      <c r="L82" s="2">
        <v>7.62</v>
      </c>
      <c r="M82" s="41">
        <v>6.5</v>
      </c>
      <c r="N82" s="1">
        <v>367</v>
      </c>
      <c r="O82" s="1">
        <v>348</v>
      </c>
      <c r="P82" s="3">
        <v>14.1</v>
      </c>
      <c r="Q82" s="4">
        <v>54</v>
      </c>
      <c r="R82" s="4">
        <v>54.2</v>
      </c>
      <c r="S82" s="4">
        <v>-47</v>
      </c>
      <c r="T82" s="4" cm="1">
        <f t="array" ref="T82">_xlfn.IFS(L82&lt;=5,IF(ISNUMBER(X91)=TRUE,X91*1.79+AA91*1.8+Z91*5.56+50000*(10^-L82)-Q82,1.79+AA91*1.8+Z91*5.56+50000*(10^-L82)-Q82),L82&gt;5,IF(ISNUMBER(X91)=TRUE,X91*1.79+AA91*1.8+50000*(10^-L82)-Q82,AA91*1.8+50000*(10^-L82)-Q82))</f>
        <v>-53.77639058354049</v>
      </c>
      <c r="W82" s="3">
        <v>0.374</v>
      </c>
      <c r="X82" s="3">
        <v>0.06</v>
      </c>
      <c r="Z82" s="3">
        <v>0.3</v>
      </c>
      <c r="AA82" s="3">
        <v>0.14099999999999999</v>
      </c>
      <c r="AB82" s="4">
        <v>99.83</v>
      </c>
      <c r="AC82" s="3">
        <v>41.7</v>
      </c>
      <c r="AD82" s="8">
        <v>9.4700000000000006</v>
      </c>
      <c r="AE82" s="8">
        <v>11.3</v>
      </c>
      <c r="AF82" s="3">
        <v>1.88</v>
      </c>
      <c r="AG82" s="3">
        <v>8.5</v>
      </c>
      <c r="AH82" s="2">
        <v>0.05</v>
      </c>
      <c r="AI82" s="2">
        <v>0.03</v>
      </c>
      <c r="AJ82" s="3">
        <v>0.2</v>
      </c>
      <c r="AU82" s="13"/>
      <c r="AV82" s="13"/>
    </row>
    <row r="83" spans="1:48" s="7" customFormat="1" x14ac:dyDescent="0.3">
      <c r="A83" s="45" t="s">
        <v>144</v>
      </c>
      <c r="B83" s="46"/>
      <c r="F83" s="47"/>
      <c r="G83" s="47"/>
      <c r="I83" s="15"/>
      <c r="J83" s="15">
        <f t="shared" ref="J83:Q83" si="26">AVERAGE(J77:J82)</f>
        <v>4279.1350000000002</v>
      </c>
      <c r="K83" s="15" t="e">
        <f t="shared" si="26"/>
        <v>#DIV/0!</v>
      </c>
      <c r="L83" s="15">
        <f t="shared" si="26"/>
        <v>7.5983333333333327</v>
      </c>
      <c r="M83" s="15">
        <f t="shared" si="26"/>
        <v>7.0166666666666666</v>
      </c>
      <c r="N83" s="20">
        <f t="shared" si="26"/>
        <v>362.33333333333331</v>
      </c>
      <c r="O83" s="20">
        <f t="shared" si="26"/>
        <v>328.33333333333331</v>
      </c>
      <c r="P83" s="32">
        <f t="shared" si="26"/>
        <v>10.95</v>
      </c>
      <c r="Q83" s="19">
        <f t="shared" si="26"/>
        <v>58.75</v>
      </c>
      <c r="R83" s="19">
        <f>AVERAGE(R77:R82)</f>
        <v>59.300000000000004</v>
      </c>
      <c r="S83" s="19">
        <f>AVERAGE(S77:S82)</f>
        <v>-48.06666666666667</v>
      </c>
      <c r="T83" s="19">
        <f>AVERAGE(T77:T82)</f>
        <v>-58.470278205067196</v>
      </c>
      <c r="U83" s="19">
        <f t="shared" ref="U83:AJ83" si="27">AVERAGE(U77:U82)</f>
        <v>11.265000000000001</v>
      </c>
      <c r="V83" s="19">
        <f t="shared" si="27"/>
        <v>96.15</v>
      </c>
      <c r="W83" s="32">
        <f t="shared" si="27"/>
        <v>0.3153333333333333</v>
      </c>
      <c r="X83" s="32">
        <f t="shared" si="27"/>
        <v>6.2666666666666662E-2</v>
      </c>
      <c r="Y83" s="32"/>
      <c r="Z83" s="32">
        <f t="shared" si="27"/>
        <v>0.3</v>
      </c>
      <c r="AA83" s="32">
        <f t="shared" si="27"/>
        <v>0.15416666666666665</v>
      </c>
      <c r="AB83" s="19">
        <f>AVERAGE(AB77:AB82)</f>
        <v>116.33000000000001</v>
      </c>
      <c r="AC83" s="19">
        <f t="shared" si="27"/>
        <v>41.798333333333325</v>
      </c>
      <c r="AD83" s="19">
        <f t="shared" si="27"/>
        <v>11.79</v>
      </c>
      <c r="AE83" s="19">
        <f t="shared" si="27"/>
        <v>10.270000000000001</v>
      </c>
      <c r="AF83" s="19">
        <f t="shared" si="27"/>
        <v>1.9033333333333331</v>
      </c>
      <c r="AG83" s="19">
        <f t="shared" si="27"/>
        <v>9.5499999999999989</v>
      </c>
      <c r="AH83" s="19">
        <f t="shared" si="27"/>
        <v>0.05</v>
      </c>
      <c r="AI83" s="19">
        <f t="shared" si="27"/>
        <v>0.03</v>
      </c>
      <c r="AJ83" s="19">
        <f t="shared" si="27"/>
        <v>0.2</v>
      </c>
      <c r="AK83" s="32"/>
      <c r="AL83" s="32"/>
      <c r="AM83" s="32"/>
      <c r="AN83" s="19">
        <f>AVERAGE(AN77:AN81)</f>
        <v>-1922.4775919999997</v>
      </c>
      <c r="AO83" s="32">
        <f t="shared" ref="AO83:AS83" si="28">AVERAGE(AO77:AO81)</f>
        <v>17.596311539999999</v>
      </c>
      <c r="AP83" s="32">
        <f t="shared" si="28"/>
        <v>15.404885999999999</v>
      </c>
      <c r="AQ83" s="32">
        <f t="shared" si="28"/>
        <v>7.9411963799999992</v>
      </c>
      <c r="AR83" s="32">
        <f t="shared" si="28"/>
        <v>1661.8232646000004</v>
      </c>
      <c r="AS83" s="32">
        <f t="shared" si="28"/>
        <v>2652.8233560000003</v>
      </c>
      <c r="AU83" s="48"/>
      <c r="AV83" s="48"/>
    </row>
    <row r="84" spans="1:48" x14ac:dyDescent="0.3">
      <c r="F84" s="11"/>
      <c r="G84" s="11"/>
      <c r="AU84" s="13"/>
      <c r="AV84" s="13"/>
    </row>
    <row r="85" spans="1:48" x14ac:dyDescent="0.3">
      <c r="A85" s="5">
        <v>35998</v>
      </c>
      <c r="C85" t="s">
        <v>193</v>
      </c>
      <c r="E85" t="s">
        <v>604</v>
      </c>
      <c r="F85" s="11"/>
      <c r="G85" s="11"/>
      <c r="H85" t="s">
        <v>175</v>
      </c>
      <c r="J85" s="1">
        <v>5377.3</v>
      </c>
      <c r="M85" s="2">
        <v>8.4</v>
      </c>
      <c r="R85" s="4">
        <v>252</v>
      </c>
      <c r="W85" s="3">
        <v>0.57999999999999996</v>
      </c>
      <c r="X85" s="3">
        <v>0.08</v>
      </c>
      <c r="Z85" s="3">
        <v>0.2</v>
      </c>
      <c r="AA85" s="3">
        <v>0.04</v>
      </c>
      <c r="AB85" s="4">
        <v>98</v>
      </c>
      <c r="AD85" s="8"/>
      <c r="AE85" s="8"/>
      <c r="AS85" s="1">
        <f t="shared" si="25"/>
        <v>16260.9552</v>
      </c>
      <c r="AU85" s="13"/>
      <c r="AV85" s="13"/>
    </row>
    <row r="86" spans="1:48" x14ac:dyDescent="0.3">
      <c r="A86" s="5">
        <v>44845</v>
      </c>
      <c r="B86" s="12" t="s">
        <v>46</v>
      </c>
      <c r="C86" t="s">
        <v>47</v>
      </c>
      <c r="E86" t="s">
        <v>604</v>
      </c>
      <c r="F86" s="11">
        <v>40.674660000000003</v>
      </c>
      <c r="G86" s="11">
        <v>-78.962230000000005</v>
      </c>
      <c r="H86" t="s">
        <v>93</v>
      </c>
      <c r="I86" s="2">
        <v>8.25</v>
      </c>
      <c r="J86" s="1">
        <f>6.83*449</f>
        <v>3066.67</v>
      </c>
      <c r="K86" t="s">
        <v>96</v>
      </c>
      <c r="L86" s="2">
        <v>8.08</v>
      </c>
      <c r="M86" s="2">
        <v>8.1</v>
      </c>
      <c r="N86" s="1">
        <v>349</v>
      </c>
      <c r="O86" s="1">
        <v>354</v>
      </c>
      <c r="P86" s="3">
        <v>8.6</v>
      </c>
      <c r="Q86" s="4">
        <f>AVERAGE(154,159)</f>
        <v>156.5</v>
      </c>
      <c r="R86" s="4">
        <v>153.80000000000001</v>
      </c>
      <c r="S86" s="4">
        <v>-137</v>
      </c>
      <c r="T86" s="4" cm="1">
        <f t="array" ref="T86">_xlfn.IFS(L86&lt;=5,IF(ISNUMBER(X86)=TRUE,X86*1.79+AA86*1.8+Z86*5.56+50000*(10^-L86)-Q86,1.79+AA86*1.8+Z86*5.56+50000*(10^-L86)-Q86),L86&gt;5,IF(ISNUMBER(X86)=TRUE,X86*1.79+AA86*1.8+50000*(10^-L86)-Q86,AA86*1.8+50000*(10^-L86)-Q86))</f>
        <v>-156.16787411811444</v>
      </c>
      <c r="U86" s="2">
        <v>11.45</v>
      </c>
      <c r="V86" s="2">
        <v>96.9</v>
      </c>
      <c r="W86" s="3">
        <v>0.26</v>
      </c>
      <c r="X86" s="3">
        <v>0.129</v>
      </c>
      <c r="Z86" s="52">
        <v>0.3</v>
      </c>
      <c r="AA86" s="3">
        <v>5.6000000000000001E-2</v>
      </c>
      <c r="AB86" s="4">
        <v>16.46</v>
      </c>
      <c r="AC86" s="3">
        <v>18.850000000000001</v>
      </c>
      <c r="AD86" s="8">
        <v>5.07</v>
      </c>
      <c r="AE86" s="8">
        <v>51.1</v>
      </c>
      <c r="AF86" s="3">
        <v>1.4</v>
      </c>
      <c r="AG86" s="3">
        <v>10.199999999999999</v>
      </c>
      <c r="AH86" s="2" t="s">
        <v>161</v>
      </c>
      <c r="AI86" s="2" t="s">
        <v>162</v>
      </c>
      <c r="AJ86" s="3" t="s">
        <v>159</v>
      </c>
      <c r="AN86" s="1">
        <f>S86*J86*0.012</f>
        <v>-5041.6054800000002</v>
      </c>
      <c r="AO86" s="1">
        <f>W86*J86*0.012</f>
        <v>9.5680104000000004</v>
      </c>
      <c r="AP86" s="1">
        <f>Z86*J86*0.012</f>
        <v>11.040012000000001</v>
      </c>
      <c r="AQ86" s="1">
        <f>AA86*J86*0.012</f>
        <v>2.0608022400000001</v>
      </c>
      <c r="AR86" s="1">
        <f>AB86*J86*0.012</f>
        <v>605.72865839999997</v>
      </c>
      <c r="AS86" s="1">
        <f t="shared" si="25"/>
        <v>5659.846152000001</v>
      </c>
      <c r="AT86" t="s">
        <v>99</v>
      </c>
      <c r="AU86" s="13" t="str">
        <f>CONCATENATE(TEXT(ROUNDDOWN(ABS(F86),0),"00"),"° ",TEXT(ROUNDDOWN(ABS((F86-ROUNDDOWN(F86,0))*60),0),"00"),"' ",TEXT(TRUNC((ABS((F86-ROUNDDOWN(F86,0))*60)-ROUNDDOWN(ABS((F86-ROUNDDOWN(F86,0))*60),0))*60,2),"00.00"),"""",IF(F86&lt;0," S"," N"))</f>
        <v>40° 40' 28.77" N</v>
      </c>
      <c r="AV86" s="13" t="str">
        <f>CONCATENATE(TEXT(ROUNDDOWN(ABS(G86),0),"000"),"° ",TEXT(ROUNDDOWN(ABS((G86-ROUNDDOWN(G86,0))*60),0),"00"),"' ",TEXT(TRUNC((ABS((G86-ROUNDDOWN(G86,0))*60)-ROUNDDOWN(ABS((G86-ROUNDDOWN(G86,0))*60),0))*60,2),"00.00"),"""",IF(G86&lt;0," W"," E"))</f>
        <v>078° 57' 44.02" W</v>
      </c>
    </row>
    <row r="87" spans="1:48" x14ac:dyDescent="0.3">
      <c r="A87" s="5">
        <v>44903</v>
      </c>
      <c r="B87" s="12" t="s">
        <v>46</v>
      </c>
      <c r="C87" t="s">
        <v>47</v>
      </c>
      <c r="E87" t="s">
        <v>604</v>
      </c>
      <c r="F87" s="11">
        <v>40.674660000000003</v>
      </c>
      <c r="G87" s="11">
        <v>-78.962230000000005</v>
      </c>
      <c r="H87" t="s">
        <v>93</v>
      </c>
      <c r="I87" s="2">
        <v>8.25</v>
      </c>
      <c r="J87" s="1">
        <v>11243</v>
      </c>
      <c r="K87" t="s">
        <v>96</v>
      </c>
      <c r="L87" s="2">
        <v>7.56</v>
      </c>
      <c r="M87" s="2">
        <v>7.6</v>
      </c>
      <c r="N87" s="1">
        <v>200</v>
      </c>
      <c r="O87" s="1">
        <v>194.3</v>
      </c>
      <c r="P87" s="3">
        <v>7.5</v>
      </c>
      <c r="Q87" s="4">
        <v>63.5</v>
      </c>
      <c r="R87" s="4">
        <v>66.2</v>
      </c>
      <c r="S87" s="4">
        <v>-55.2</v>
      </c>
      <c r="T87" s="4" cm="1">
        <f t="array" ref="T87">_xlfn.IFS(L87&lt;=5,IF(ISNUMBER(X87)=TRUE,X87*1.79+AA87*1.8+Z87*5.56+50000*(10^-L87)-Q87,1.79+AA87*1.8+Z87*5.56+50000*(10^-L87)-Q87),L87&gt;5,IF(ISNUMBER(X87)=TRUE,X87*1.79+AA87*1.8+50000*(10^-L87)-Q87,AA87*1.8+50000*(10^-L87)-Q87))</f>
        <v>-63.439222885648334</v>
      </c>
      <c r="U87" s="2">
        <v>11.76</v>
      </c>
      <c r="V87" s="2">
        <v>98.1</v>
      </c>
      <c r="W87" s="3">
        <v>0.21</v>
      </c>
      <c r="X87" s="3" t="s">
        <v>161</v>
      </c>
      <c r="Z87" s="52">
        <v>0.3</v>
      </c>
      <c r="AA87" s="3">
        <v>3.3000000000000002E-2</v>
      </c>
      <c r="AC87" s="3">
        <v>13.8</v>
      </c>
      <c r="AD87" s="8">
        <v>4.13</v>
      </c>
      <c r="AE87" s="8">
        <v>20.5</v>
      </c>
      <c r="AF87" s="3">
        <v>1.43</v>
      </c>
      <c r="AG87" s="3">
        <v>8.3000000000000007</v>
      </c>
      <c r="AH87" s="2" t="s">
        <v>161</v>
      </c>
      <c r="AI87" s="2" t="s">
        <v>162</v>
      </c>
      <c r="AJ87" s="3" t="s">
        <v>159</v>
      </c>
      <c r="AN87" s="1">
        <f>S87*J87*0.012</f>
        <v>-7447.3631999999998</v>
      </c>
      <c r="AO87" s="1">
        <f>W87*J87*0.012</f>
        <v>28.332359999999998</v>
      </c>
      <c r="AP87" s="1">
        <f>Z87*J87*0.012</f>
        <v>40.474800000000002</v>
      </c>
      <c r="AQ87" s="1">
        <f>AA87*J87*0.012</f>
        <v>4.4522279999999999</v>
      </c>
      <c r="AR87" s="1">
        <f>AB87*J87*0.012</f>
        <v>0</v>
      </c>
      <c r="AS87" s="1">
        <f t="shared" si="25"/>
        <v>8931.4392000000007</v>
      </c>
      <c r="AU87" s="13"/>
      <c r="AV87" s="13"/>
    </row>
    <row r="88" spans="1:48" x14ac:dyDescent="0.3">
      <c r="A88" s="5">
        <v>44964</v>
      </c>
      <c r="B88" s="12" t="s">
        <v>46</v>
      </c>
      <c r="C88" t="s">
        <v>47</v>
      </c>
      <c r="E88" t="s">
        <v>604</v>
      </c>
      <c r="F88" s="11">
        <v>40.674660000000003</v>
      </c>
      <c r="G88" s="11">
        <v>-78.962230000000005</v>
      </c>
      <c r="H88" t="s">
        <v>241</v>
      </c>
      <c r="J88" s="1" t="s">
        <v>219</v>
      </c>
      <c r="L88" s="2">
        <v>7.26</v>
      </c>
      <c r="M88" s="2">
        <v>6.8</v>
      </c>
      <c r="N88" s="1">
        <v>388</v>
      </c>
      <c r="O88" s="1">
        <v>347</v>
      </c>
      <c r="Q88" s="4">
        <v>35</v>
      </c>
      <c r="R88" s="4">
        <v>45.6</v>
      </c>
      <c r="S88" s="4">
        <v>-36.4</v>
      </c>
      <c r="T88" s="4" cm="1">
        <f t="array" ref="T88">_xlfn.IFS(L88&lt;=5,IF(ISNUMBER(X79)=TRUE,X79*1.79+AA79*1.8+Z79*5.56+50000*(10^-L88)-Q88,1.79+AA79*1.8+Z79*5.56+50000*(10^-L88)-Q88),L88&gt;5,IF(ISNUMBER(X79)=TRUE,X79*1.79+AA79*1.8+50000*(10^-L88)-Q88,AA79*1.8+50000*(10^-L88)-Q88))</f>
        <v>-34.551352295630714</v>
      </c>
      <c r="W88" s="3">
        <v>0.16600000000000001</v>
      </c>
      <c r="X88" s="3">
        <v>0.05</v>
      </c>
      <c r="Z88" s="52">
        <v>0.3</v>
      </c>
      <c r="AA88" s="3">
        <v>3.3000000000000002E-2</v>
      </c>
      <c r="AB88" s="4">
        <v>19.649999999999999</v>
      </c>
      <c r="AC88" s="3">
        <v>14.64</v>
      </c>
      <c r="AD88" s="8">
        <v>4.49</v>
      </c>
      <c r="AE88" s="8">
        <v>27.93</v>
      </c>
      <c r="AF88" s="3">
        <v>1.17</v>
      </c>
      <c r="AG88" s="3">
        <v>9.4</v>
      </c>
      <c r="AH88" s="2" t="s">
        <v>161</v>
      </c>
      <c r="AI88" s="2" t="s">
        <v>162</v>
      </c>
      <c r="AJ88" s="3" t="s">
        <v>159</v>
      </c>
      <c r="AU88" s="13"/>
      <c r="AV88" s="13"/>
    </row>
    <row r="89" spans="1:48" x14ac:dyDescent="0.3">
      <c r="A89" s="5">
        <v>45022</v>
      </c>
      <c r="B89" s="12" t="s">
        <v>84</v>
      </c>
      <c r="C89" t="s">
        <v>47</v>
      </c>
      <c r="E89" t="s">
        <v>604</v>
      </c>
      <c r="F89" s="11">
        <v>40.674660000000003</v>
      </c>
      <c r="G89" s="11">
        <v>-78.962230000000005</v>
      </c>
      <c r="H89" t="s">
        <v>241</v>
      </c>
      <c r="J89" s="1" t="s">
        <v>219</v>
      </c>
      <c r="L89" s="2">
        <v>7.85</v>
      </c>
      <c r="M89" s="2">
        <v>7.1</v>
      </c>
      <c r="N89" s="1">
        <v>181</v>
      </c>
      <c r="O89" s="1">
        <v>190</v>
      </c>
      <c r="Q89" s="4">
        <v>56</v>
      </c>
      <c r="R89" s="4">
        <v>64.8</v>
      </c>
      <c r="S89" s="4">
        <v>-50.2</v>
      </c>
      <c r="T89" s="4" cm="1">
        <f t="array" ref="T89">_xlfn.IFS(L89&lt;=5,IF(ISNUMBER(X80)=TRUE,X80*1.79+AA80*1.8+Z80*5.56+50000*(10^-L89)-Q89,1.79+AA80*1.8+Z80*5.56+50000*(10^-L89)-Q89),L89&gt;5,IF(ISNUMBER(X80)=TRUE,X80*1.79+AA80*1.8+50000*(10^-L89)-Q89,AA80*1.8+50000*(10^-L89)-Q89))</f>
        <v>-55.693793731227686</v>
      </c>
      <c r="W89" s="3">
        <v>0.23799999999999999</v>
      </c>
      <c r="X89" s="3">
        <v>6.0999999999999999E-2</v>
      </c>
      <c r="Z89" s="3">
        <v>0.3</v>
      </c>
      <c r="AA89" s="3">
        <v>3.5000000000000003E-2</v>
      </c>
      <c r="AB89" s="4">
        <v>16.82</v>
      </c>
      <c r="AC89" s="3">
        <v>11.48</v>
      </c>
      <c r="AD89" s="8">
        <v>3.71</v>
      </c>
      <c r="AE89" s="8">
        <v>19.420000000000002</v>
      </c>
      <c r="AF89" s="3">
        <v>1.22</v>
      </c>
      <c r="AG89" s="3">
        <v>8.5</v>
      </c>
      <c r="AH89" s="2" t="s">
        <v>161</v>
      </c>
      <c r="AI89" s="2" t="s">
        <v>162</v>
      </c>
      <c r="AJ89" s="3" t="s">
        <v>159</v>
      </c>
      <c r="AU89" s="13"/>
      <c r="AV89" s="13"/>
    </row>
    <row r="90" spans="1:48" x14ac:dyDescent="0.3">
      <c r="A90" s="5">
        <v>45098</v>
      </c>
      <c r="B90" s="12" t="s">
        <v>268</v>
      </c>
      <c r="C90" t="s">
        <v>47</v>
      </c>
      <c r="E90" t="s">
        <v>604</v>
      </c>
      <c r="F90" s="11">
        <v>40.674660000000003</v>
      </c>
      <c r="G90" s="11">
        <v>-78.962230000000005</v>
      </c>
      <c r="H90" t="s">
        <v>241</v>
      </c>
      <c r="J90" s="1" t="s">
        <v>219</v>
      </c>
      <c r="L90" s="2">
        <v>8.26</v>
      </c>
      <c r="M90" s="2">
        <v>8.1</v>
      </c>
      <c r="N90" s="1">
        <v>483</v>
      </c>
      <c r="O90" s="1">
        <v>460</v>
      </c>
      <c r="P90" s="3">
        <v>17.5</v>
      </c>
      <c r="Q90" s="4">
        <v>178</v>
      </c>
      <c r="R90" s="4">
        <v>228.6</v>
      </c>
      <c r="S90" s="4">
        <v>-204</v>
      </c>
      <c r="T90" s="4" cm="1">
        <f t="array" ref="T90">_xlfn.IFS(L90&lt;=5,IF(ISNUMBER(X81)=TRUE,X81*1.79+AA81*1.8+Z81*5.56+50000*(10^-L90)-Q90,1.79+AA81*1.8+Z81*5.56+50000*(10^-L90)-Q90),L90&gt;5,IF(ISNUMBER(X81)=TRUE,X81*1.79+AA81*1.8+50000*(10^-L90)-Q90,AA81*1.8+50000*(10^-L90)-Q90))</f>
        <v>-177.68522522956306</v>
      </c>
      <c r="W90" s="3">
        <v>0.30499999999999999</v>
      </c>
      <c r="X90" s="3">
        <v>0.05</v>
      </c>
      <c r="Z90" s="3">
        <v>0.3</v>
      </c>
      <c r="AA90" s="3">
        <v>7.0000000000000007E-2</v>
      </c>
      <c r="AB90" s="4">
        <v>19.329999999999998</v>
      </c>
      <c r="AC90" s="3">
        <v>22.26</v>
      </c>
      <c r="AD90" s="8">
        <v>5.51</v>
      </c>
      <c r="AE90" s="8">
        <v>76.28</v>
      </c>
      <c r="AF90" s="3">
        <v>1.6</v>
      </c>
      <c r="AG90" s="3">
        <v>11.1</v>
      </c>
      <c r="AH90" s="2">
        <v>0.05</v>
      </c>
      <c r="AI90" s="2">
        <v>0.03</v>
      </c>
      <c r="AJ90" s="3">
        <v>0.2</v>
      </c>
      <c r="AU90" s="13"/>
      <c r="AV90" s="13"/>
    </row>
    <row r="91" spans="1:48" x14ac:dyDescent="0.3">
      <c r="A91" s="5">
        <v>45169</v>
      </c>
      <c r="B91" s="12" t="s">
        <v>268</v>
      </c>
      <c r="C91" t="s">
        <v>47</v>
      </c>
      <c r="E91" t="s">
        <v>604</v>
      </c>
      <c r="F91" s="11">
        <v>40.674660000000003</v>
      </c>
      <c r="G91" s="11">
        <v>-78.962230000000005</v>
      </c>
      <c r="H91" t="s">
        <v>241</v>
      </c>
      <c r="J91" s="1" t="s">
        <v>219</v>
      </c>
      <c r="L91" s="2">
        <v>7.97</v>
      </c>
      <c r="M91" s="41">
        <v>7</v>
      </c>
      <c r="N91" s="1">
        <v>264</v>
      </c>
      <c r="O91" s="6">
        <v>262</v>
      </c>
      <c r="P91" s="3">
        <v>15.9</v>
      </c>
      <c r="Q91" s="4">
        <v>112</v>
      </c>
      <c r="R91" s="40">
        <v>106.2</v>
      </c>
      <c r="S91" s="40">
        <v>-96.4</v>
      </c>
      <c r="T91" s="4" cm="1">
        <f t="array" ref="T91">_xlfn.IFS(L91&lt;=5,IF(ISNUMBER(X82)=TRUE,X82*1.79+AA82*1.8+Z82*5.56+50000*(10^-L91)-Q91,1.79+AA82*1.8+Z82*5.56+50000*(10^-L91)-Q91),L91&gt;5,IF(ISNUMBER(X82)=TRUE,X82*1.79+AA82*1.8+50000*(10^-L91)-Q91,AA82*1.8+50000*(10^-L91)-Q91))</f>
        <v>-111.63826424034738</v>
      </c>
      <c r="W91" s="3">
        <v>0.27600000000000002</v>
      </c>
      <c r="X91" s="3">
        <v>7.9000000000000001E-2</v>
      </c>
      <c r="Z91" s="3">
        <v>0.3</v>
      </c>
      <c r="AA91" s="3">
        <v>4.4999999999999998E-2</v>
      </c>
      <c r="AB91" s="6">
        <v>14.77</v>
      </c>
      <c r="AC91" s="6">
        <v>17.2</v>
      </c>
      <c r="AD91" s="6">
        <v>4.62</v>
      </c>
      <c r="AE91" s="6">
        <v>35.299999999999997</v>
      </c>
      <c r="AF91" s="6">
        <v>1.53</v>
      </c>
      <c r="AG91" s="6">
        <v>8.3000000000000007</v>
      </c>
      <c r="AH91" s="2">
        <v>0.05</v>
      </c>
      <c r="AI91" s="2">
        <v>0.03</v>
      </c>
      <c r="AJ91" s="6">
        <v>0.2</v>
      </c>
      <c r="AK91" s="6"/>
      <c r="AL91" s="6"/>
      <c r="AU91" s="13"/>
      <c r="AV91" s="13"/>
    </row>
    <row r="92" spans="1:48" s="7" customFormat="1" x14ac:dyDescent="0.3">
      <c r="A92" s="45" t="s">
        <v>144</v>
      </c>
      <c r="B92" s="46"/>
      <c r="F92" s="47"/>
      <c r="G92" s="47"/>
      <c r="I92" s="15"/>
      <c r="J92" s="15">
        <f t="shared" ref="J92:T92" si="29">AVERAGE(J86:J91)</f>
        <v>7154.835</v>
      </c>
      <c r="K92" s="15" t="e">
        <f t="shared" si="29"/>
        <v>#DIV/0!</v>
      </c>
      <c r="L92" s="15">
        <f t="shared" si="29"/>
        <v>7.8299999999999992</v>
      </c>
      <c r="M92" s="15">
        <f t="shared" si="29"/>
        <v>7.45</v>
      </c>
      <c r="N92" s="20">
        <f t="shared" si="29"/>
        <v>310.83333333333331</v>
      </c>
      <c r="O92" s="20">
        <f t="shared" si="29"/>
        <v>301.21666666666664</v>
      </c>
      <c r="P92" s="32">
        <f t="shared" si="29"/>
        <v>12.375</v>
      </c>
      <c r="Q92" s="19">
        <f t="shared" si="29"/>
        <v>100.16666666666667</v>
      </c>
      <c r="R92" s="19">
        <f t="shared" si="29"/>
        <v>110.86666666666667</v>
      </c>
      <c r="S92" s="19">
        <f t="shared" si="29"/>
        <v>-96.533333333333346</v>
      </c>
      <c r="T92" s="19">
        <f t="shared" si="29"/>
        <v>-99.862622083421925</v>
      </c>
      <c r="U92" s="15">
        <f>AVERAGE(U86:U90)</f>
        <v>11.605</v>
      </c>
      <c r="V92" s="15">
        <f>AVERAGE(V86:V90)</f>
        <v>97.5</v>
      </c>
      <c r="W92" s="32">
        <f>AVERAGE(W86:W91)</f>
        <v>0.24250000000000002</v>
      </c>
      <c r="X92" s="32">
        <f t="shared" ref="X92:AA92" si="30">AVERAGE(X86:X91)</f>
        <v>7.3800000000000004E-2</v>
      </c>
      <c r="Y92" s="32"/>
      <c r="Z92" s="32">
        <f t="shared" si="30"/>
        <v>0.3</v>
      </c>
      <c r="AA92" s="32">
        <f t="shared" si="30"/>
        <v>4.5333333333333337E-2</v>
      </c>
      <c r="AB92" s="19">
        <f>AVERAGE(AB86:AB91)</f>
        <v>17.405999999999999</v>
      </c>
      <c r="AC92" s="32">
        <f>AVERAGE(AC86:AC91)</f>
        <v>16.37166666666667</v>
      </c>
      <c r="AD92" s="32">
        <f>AVERAGE(AD86:AD91)</f>
        <v>4.5883333333333329</v>
      </c>
      <c r="AE92" s="32">
        <f t="shared" ref="AE92" si="31">AVERAGE(AE86:AE91)</f>
        <v>38.421666666666674</v>
      </c>
      <c r="AF92" s="32">
        <f>AVERAGE(AF86:AF91)</f>
        <v>1.3916666666666666</v>
      </c>
      <c r="AG92" s="32">
        <f>AVERAGE(AG86:AG91)</f>
        <v>9.2999999999999989</v>
      </c>
      <c r="AH92" s="15">
        <f>AVERAGE(AH86:AH91)</f>
        <v>0.05</v>
      </c>
      <c r="AI92" s="15">
        <f>AVERAGE(AI86:AI91)</f>
        <v>0.03</v>
      </c>
      <c r="AJ92" s="32">
        <f>AVERAGE(AJ86:AJ91)</f>
        <v>0.2</v>
      </c>
      <c r="AK92" s="32"/>
      <c r="AL92" s="32"/>
      <c r="AM92" s="32"/>
      <c r="AN92" s="32">
        <f t="shared" ref="AN92:AS92" si="32">AVERAGE(AN86:AN91)</f>
        <v>-6244.48434</v>
      </c>
      <c r="AO92" s="32">
        <f t="shared" si="32"/>
        <v>18.9501852</v>
      </c>
      <c r="AP92" s="32">
        <f t="shared" si="32"/>
        <v>25.757406000000003</v>
      </c>
      <c r="AQ92" s="32">
        <f t="shared" si="32"/>
        <v>3.25651512</v>
      </c>
      <c r="AR92" s="32">
        <f t="shared" si="32"/>
        <v>302.86432919999999</v>
      </c>
      <c r="AS92" s="32">
        <f t="shared" si="32"/>
        <v>7295.6426760000013</v>
      </c>
      <c r="AU92" s="48"/>
      <c r="AV92" s="48"/>
    </row>
    <row r="93" spans="1:48" x14ac:dyDescent="0.3">
      <c r="F93" s="11"/>
      <c r="G93" s="11"/>
      <c r="AD93" s="8"/>
      <c r="AE93" s="8"/>
      <c r="AU93" s="13"/>
      <c r="AV93" s="13"/>
    </row>
    <row r="94" spans="1:48" x14ac:dyDescent="0.3">
      <c r="A94" s="5">
        <v>36308</v>
      </c>
      <c r="C94" t="s">
        <v>184</v>
      </c>
      <c r="E94" t="s">
        <v>45</v>
      </c>
      <c r="F94" s="11"/>
      <c r="G94" s="11"/>
      <c r="H94" t="s">
        <v>175</v>
      </c>
      <c r="J94" s="1">
        <v>14698.26</v>
      </c>
      <c r="M94" s="2">
        <v>8.1</v>
      </c>
      <c r="R94" s="4">
        <v>92</v>
      </c>
      <c r="W94" s="3">
        <v>0.33</v>
      </c>
      <c r="X94" s="3">
        <v>7.0000000000000007E-2</v>
      </c>
      <c r="Z94" s="3" t="s">
        <v>159</v>
      </c>
      <c r="AA94" s="3">
        <v>0.15</v>
      </c>
      <c r="AB94" s="4">
        <v>85</v>
      </c>
      <c r="AD94" s="8"/>
      <c r="AE94" s="8"/>
      <c r="AS94" s="1">
        <f t="shared" si="25"/>
        <v>16226.879040000002</v>
      </c>
    </row>
    <row r="95" spans="1:48" x14ac:dyDescent="0.3">
      <c r="A95" s="5">
        <v>37406</v>
      </c>
      <c r="C95" t="s">
        <v>184</v>
      </c>
      <c r="E95" t="s">
        <v>45</v>
      </c>
      <c r="H95" t="s">
        <v>177</v>
      </c>
      <c r="M95" s="2">
        <v>7.33</v>
      </c>
      <c r="R95" s="4">
        <v>71.900000000000006</v>
      </c>
      <c r="W95" s="3">
        <v>0.33</v>
      </c>
      <c r="Z95" s="3">
        <v>0.17</v>
      </c>
      <c r="AA95" s="3">
        <v>0.1</v>
      </c>
      <c r="AB95" s="4">
        <v>64.7</v>
      </c>
    </row>
    <row r="96" spans="1:48" x14ac:dyDescent="0.3">
      <c r="A96" s="5">
        <v>37435</v>
      </c>
      <c r="C96" t="s">
        <v>184</v>
      </c>
      <c r="E96" t="s">
        <v>45</v>
      </c>
      <c r="F96" s="11"/>
      <c r="G96" s="11"/>
      <c r="H96" t="s">
        <v>177</v>
      </c>
      <c r="M96" s="2">
        <v>7.66</v>
      </c>
      <c r="R96" s="4">
        <v>135.1</v>
      </c>
      <c r="W96" s="3">
        <v>0.33</v>
      </c>
      <c r="Z96" s="3">
        <v>0.55000000000000004</v>
      </c>
      <c r="AA96" s="3">
        <v>0.1</v>
      </c>
      <c r="AB96" s="4">
        <v>81.7</v>
      </c>
      <c r="AD96" s="8"/>
      <c r="AE96" s="8"/>
      <c r="AU96" s="13"/>
      <c r="AV96" s="13"/>
    </row>
    <row r="97" spans="1:48" x14ac:dyDescent="0.3">
      <c r="A97" s="5">
        <v>37463</v>
      </c>
      <c r="C97" t="s">
        <v>184</v>
      </c>
      <c r="E97" t="s">
        <v>45</v>
      </c>
      <c r="F97" s="11"/>
      <c r="G97" s="11"/>
      <c r="H97" t="s">
        <v>177</v>
      </c>
      <c r="M97" s="2">
        <v>8.42</v>
      </c>
      <c r="R97" s="4">
        <v>215.6</v>
      </c>
      <c r="W97" s="3">
        <v>0.4</v>
      </c>
      <c r="Z97" s="3">
        <v>1.86</v>
      </c>
      <c r="AA97" s="3">
        <v>7.0000000000000007E-2</v>
      </c>
      <c r="AB97" s="4">
        <v>121.8</v>
      </c>
      <c r="AD97" s="8"/>
      <c r="AE97" s="8"/>
    </row>
    <row r="98" spans="1:48" x14ac:dyDescent="0.3">
      <c r="A98" s="5">
        <v>37508</v>
      </c>
      <c r="C98" t="s">
        <v>184</v>
      </c>
      <c r="E98" t="s">
        <v>45</v>
      </c>
      <c r="H98" t="s">
        <v>177</v>
      </c>
      <c r="M98" s="2">
        <v>8.34</v>
      </c>
      <c r="R98" s="4">
        <v>269.39999999999998</v>
      </c>
      <c r="W98" s="3">
        <v>0.21</v>
      </c>
      <c r="Z98" s="3">
        <v>1.74</v>
      </c>
      <c r="AA98" s="3">
        <v>0.06</v>
      </c>
      <c r="AB98" s="4">
        <v>145.6</v>
      </c>
    </row>
    <row r="99" spans="1:48" x14ac:dyDescent="0.3">
      <c r="A99" s="5">
        <v>37529</v>
      </c>
      <c r="C99" t="s">
        <v>184</v>
      </c>
      <c r="E99" t="s">
        <v>45</v>
      </c>
      <c r="F99" s="11"/>
      <c r="G99" s="11"/>
      <c r="H99" t="s">
        <v>177</v>
      </c>
      <c r="M99" s="2">
        <v>8.23</v>
      </c>
      <c r="R99" s="4">
        <v>183.9</v>
      </c>
      <c r="W99" s="3">
        <v>0.34</v>
      </c>
      <c r="Z99" s="3" t="s">
        <v>185</v>
      </c>
      <c r="AA99" s="3">
        <v>0.11</v>
      </c>
      <c r="AB99" s="4">
        <v>113.6</v>
      </c>
      <c r="AD99" s="8"/>
      <c r="AE99" s="8"/>
      <c r="AU99" s="13"/>
      <c r="AV99" s="13"/>
    </row>
    <row r="100" spans="1:48" x14ac:dyDescent="0.3">
      <c r="A100" s="5">
        <v>37559</v>
      </c>
      <c r="C100" t="s">
        <v>184</v>
      </c>
      <c r="E100" t="s">
        <v>45</v>
      </c>
      <c r="F100" s="11"/>
      <c r="G100" s="11"/>
      <c r="H100" t="s">
        <v>177</v>
      </c>
      <c r="M100" s="2">
        <v>7.58</v>
      </c>
      <c r="R100" s="4">
        <v>106.3</v>
      </c>
      <c r="W100" s="3">
        <v>0.44</v>
      </c>
      <c r="Z100" s="3" t="s">
        <v>185</v>
      </c>
      <c r="AA100" s="3">
        <v>0.16</v>
      </c>
      <c r="AB100" s="4">
        <v>74.400000000000006</v>
      </c>
      <c r="AD100" s="8"/>
      <c r="AE100" s="8"/>
    </row>
    <row r="101" spans="1:48" x14ac:dyDescent="0.3">
      <c r="A101" s="5">
        <v>37586</v>
      </c>
      <c r="C101" t="s">
        <v>184</v>
      </c>
      <c r="E101" t="s">
        <v>45</v>
      </c>
      <c r="H101" t="s">
        <v>177</v>
      </c>
      <c r="M101" s="2">
        <v>7.42</v>
      </c>
      <c r="R101" s="4">
        <v>85.4</v>
      </c>
      <c r="W101" s="3">
        <v>0.28999999999999998</v>
      </c>
      <c r="Z101" s="3" t="s">
        <v>185</v>
      </c>
      <c r="AA101" s="3">
        <v>0.13</v>
      </c>
      <c r="AB101" s="4">
        <v>67.5</v>
      </c>
    </row>
    <row r="102" spans="1:48" x14ac:dyDescent="0.3">
      <c r="A102" s="5">
        <v>37613</v>
      </c>
      <c r="C102" t="s">
        <v>184</v>
      </c>
      <c r="E102" t="s">
        <v>45</v>
      </c>
      <c r="F102" s="11"/>
      <c r="G102" s="11"/>
      <c r="H102" t="s">
        <v>177</v>
      </c>
      <c r="M102" s="2">
        <v>6.95</v>
      </c>
      <c r="R102" s="4">
        <v>27.6</v>
      </c>
      <c r="W102" s="3">
        <v>0.3</v>
      </c>
      <c r="Z102" s="3" t="s">
        <v>185</v>
      </c>
      <c r="AA102" s="3">
        <v>0.06</v>
      </c>
      <c r="AB102" s="4">
        <v>43.6</v>
      </c>
      <c r="AD102" s="8"/>
      <c r="AE102" s="8"/>
      <c r="AU102" s="13"/>
      <c r="AV102" s="13"/>
    </row>
    <row r="103" spans="1:48" x14ac:dyDescent="0.3">
      <c r="A103" s="5">
        <v>37651</v>
      </c>
      <c r="C103" t="s">
        <v>184</v>
      </c>
      <c r="E103" t="s">
        <v>45</v>
      </c>
      <c r="F103" s="11"/>
      <c r="G103" s="11"/>
      <c r="H103" t="s">
        <v>177</v>
      </c>
      <c r="M103" s="2">
        <v>7.76</v>
      </c>
      <c r="R103" s="4">
        <v>141.69999999999999</v>
      </c>
      <c r="W103" s="3">
        <v>0.35</v>
      </c>
      <c r="Z103" s="3">
        <v>0.18</v>
      </c>
      <c r="AA103" s="3">
        <v>0.17</v>
      </c>
      <c r="AB103" s="4">
        <v>94.8</v>
      </c>
      <c r="AD103" s="8"/>
      <c r="AE103" s="8"/>
    </row>
    <row r="104" spans="1:48" x14ac:dyDescent="0.3">
      <c r="A104" s="5">
        <v>37684</v>
      </c>
      <c r="C104" t="s">
        <v>184</v>
      </c>
      <c r="E104" t="s">
        <v>45</v>
      </c>
      <c r="H104" t="s">
        <v>177</v>
      </c>
      <c r="M104" s="2">
        <v>7.69</v>
      </c>
      <c r="R104" s="4">
        <v>64.5</v>
      </c>
      <c r="W104" s="3">
        <v>0.28999999999999998</v>
      </c>
      <c r="Z104" s="3">
        <v>0.1</v>
      </c>
      <c r="AA104" s="3">
        <v>0.1</v>
      </c>
      <c r="AB104" s="4">
        <v>53.5</v>
      </c>
    </row>
    <row r="105" spans="1:48" x14ac:dyDescent="0.3">
      <c r="A105" s="5">
        <v>37710</v>
      </c>
      <c r="C105" t="s">
        <v>184</v>
      </c>
      <c r="E105" t="s">
        <v>45</v>
      </c>
      <c r="F105" s="11"/>
      <c r="G105" s="11"/>
      <c r="H105" t="s">
        <v>177</v>
      </c>
      <c r="M105" s="2">
        <v>7.35</v>
      </c>
      <c r="R105" s="4">
        <v>75</v>
      </c>
      <c r="W105" s="3">
        <v>0.28999999999999998</v>
      </c>
      <c r="Z105" s="3">
        <v>0.43</v>
      </c>
      <c r="AA105" s="3">
        <v>0.13</v>
      </c>
      <c r="AB105" s="4">
        <v>69.900000000000006</v>
      </c>
      <c r="AD105" s="8"/>
      <c r="AE105" s="8"/>
      <c r="AU105" s="13"/>
      <c r="AV105" s="13"/>
    </row>
    <row r="106" spans="1:48" x14ac:dyDescent="0.3">
      <c r="A106" s="5">
        <v>37741</v>
      </c>
      <c r="C106" t="s">
        <v>184</v>
      </c>
      <c r="E106" t="s">
        <v>45</v>
      </c>
      <c r="F106" s="11"/>
      <c r="G106" s="11"/>
      <c r="H106" t="s">
        <v>177</v>
      </c>
      <c r="M106" s="2">
        <v>8.1</v>
      </c>
      <c r="R106" s="4">
        <v>133</v>
      </c>
      <c r="W106" s="3">
        <v>0.28000000000000003</v>
      </c>
      <c r="Z106" s="3" t="s">
        <v>185</v>
      </c>
      <c r="AA106" s="3">
        <v>0.14000000000000001</v>
      </c>
      <c r="AB106" s="4">
        <v>99.1</v>
      </c>
      <c r="AD106" s="8"/>
      <c r="AE106" s="8"/>
    </row>
    <row r="107" spans="1:48" x14ac:dyDescent="0.3">
      <c r="A107" s="5">
        <v>44845</v>
      </c>
      <c r="B107" s="12" t="s">
        <v>43</v>
      </c>
      <c r="C107" t="s">
        <v>44</v>
      </c>
      <c r="E107" t="s">
        <v>45</v>
      </c>
      <c r="F107" s="11">
        <v>40.66272</v>
      </c>
      <c r="G107" s="11">
        <v>-78.968819999999994</v>
      </c>
      <c r="H107" t="s">
        <v>93</v>
      </c>
      <c r="I107" s="2">
        <v>6.9</v>
      </c>
      <c r="J107" s="1">
        <f>12.63*449</f>
        <v>5670.8700000000008</v>
      </c>
      <c r="K107" t="s">
        <v>96</v>
      </c>
      <c r="L107" s="2">
        <v>7.99</v>
      </c>
      <c r="M107" s="2">
        <v>8</v>
      </c>
      <c r="N107" s="1">
        <v>383</v>
      </c>
      <c r="O107" s="1">
        <v>384</v>
      </c>
      <c r="P107" s="3">
        <v>8.3000000000000007</v>
      </c>
      <c r="Q107" s="4">
        <f>AVERAGE(121,118)</f>
        <v>119.5</v>
      </c>
      <c r="R107" s="4">
        <v>116.2</v>
      </c>
      <c r="S107" s="4">
        <v>-98.2</v>
      </c>
      <c r="T107" s="4" cm="1">
        <f t="array" ref="T107">_xlfn.IFS(L107&lt;=5,IF(ISNUMBER(X107)=TRUE,X107*1.79+AA107*1.8+Z107*5.56+50000*(10^-L107)-Q107,1.79+AA107*1.8+Z107*5.56+50000*(10^-L107)-Q107),L107&gt;5,IF(ISNUMBER(X107)=TRUE,X107*1.79+AA107*1.8+50000*(10^-L107)-Q107,AA107*1.8+50000*(10^-L107)-Q107))</f>
        <v>-119.15864835350386</v>
      </c>
      <c r="U107" s="2">
        <v>11.53</v>
      </c>
      <c r="V107" s="2">
        <v>97</v>
      </c>
      <c r="W107" s="3">
        <v>0.26400000000000001</v>
      </c>
      <c r="X107" s="3">
        <v>0.11600000000000001</v>
      </c>
      <c r="Z107" s="52">
        <v>0.3</v>
      </c>
      <c r="AA107" s="3">
        <v>7.3999999999999996E-2</v>
      </c>
      <c r="AB107" s="4">
        <v>64.33</v>
      </c>
      <c r="AC107" s="3">
        <v>31.36</v>
      </c>
      <c r="AD107" s="8">
        <v>8.9</v>
      </c>
      <c r="AE107" s="8">
        <v>35.29</v>
      </c>
      <c r="AF107" s="3">
        <v>1.72</v>
      </c>
      <c r="AG107" s="3">
        <v>10.1</v>
      </c>
      <c r="AH107" s="2" t="s">
        <v>161</v>
      </c>
      <c r="AI107" s="2" t="s">
        <v>162</v>
      </c>
      <c r="AJ107" s="3" t="s">
        <v>159</v>
      </c>
      <c r="AN107" s="1">
        <f>S107*J107*0.012</f>
        <v>-6682.5532080000021</v>
      </c>
      <c r="AO107" s="1">
        <f>W107*J107*0.012</f>
        <v>17.965316160000004</v>
      </c>
      <c r="AP107" s="1">
        <f>Z107*J107*0.012</f>
        <v>20.415132000000003</v>
      </c>
      <c r="AQ107" s="1">
        <f>AA107*J107*0.012</f>
        <v>5.0357325600000005</v>
      </c>
      <c r="AR107" s="1">
        <f>AB107*J107*0.012</f>
        <v>4377.6848052000005</v>
      </c>
      <c r="AS107" s="1">
        <f t="shared" si="25"/>
        <v>7907.4611280000017</v>
      </c>
      <c r="AT107" t="s">
        <v>99</v>
      </c>
      <c r="AU107" s="13" t="str">
        <f>CONCATENATE(TEXT(ROUNDDOWN(ABS(F107),0),"00"),"° ",TEXT(ROUNDDOWN(ABS((F107-ROUNDDOWN(F107,0))*60),0),"00"),"' ",TEXT(TRUNC((ABS((F107-ROUNDDOWN(F107,0))*60)-ROUNDDOWN(ABS((F107-ROUNDDOWN(F107,0))*60),0))*60,2),"00.00"),"""",IF(F107&lt;0," S"," N"))</f>
        <v>40° 39' 45.79" N</v>
      </c>
      <c r="AV107" s="13" t="str">
        <f>CONCATENATE(TEXT(ROUNDDOWN(ABS(G107),0),"000"),"° ",TEXT(ROUNDDOWN(ABS((G107-ROUNDDOWN(G107,0))*60),0),"00"),"' ",TEXT(TRUNC((ABS((G107-ROUNDDOWN(G107,0))*60)-ROUNDDOWN(ABS((G107-ROUNDDOWN(G107,0))*60),0))*60,2),"00.00"),"""",IF(G107&lt;0," W"," E"))</f>
        <v>078° 58' 07.75" W</v>
      </c>
    </row>
    <row r="108" spans="1:48" x14ac:dyDescent="0.3">
      <c r="A108" s="5">
        <v>44903</v>
      </c>
      <c r="B108" s="12" t="s">
        <v>43</v>
      </c>
      <c r="C108" t="s">
        <v>44</v>
      </c>
      <c r="E108" t="s">
        <v>45</v>
      </c>
      <c r="F108" s="11">
        <v>40.66272</v>
      </c>
      <c r="G108" s="11">
        <v>-78.968819999999994</v>
      </c>
      <c r="H108" t="s">
        <v>93</v>
      </c>
      <c r="I108" s="2">
        <v>6.9</v>
      </c>
      <c r="J108" s="1">
        <v>18211</v>
      </c>
      <c r="K108" t="s">
        <v>96</v>
      </c>
      <c r="L108" s="2">
        <v>7.6</v>
      </c>
      <c r="M108" s="2">
        <v>7.4</v>
      </c>
      <c r="N108" s="1">
        <v>237</v>
      </c>
      <c r="O108" s="1">
        <v>230</v>
      </c>
      <c r="P108" s="3">
        <v>7.7</v>
      </c>
      <c r="Q108" s="4">
        <v>61.5</v>
      </c>
      <c r="R108" s="4">
        <v>59.8</v>
      </c>
      <c r="S108" s="4">
        <v>-45.6</v>
      </c>
      <c r="T108" s="4" cm="1">
        <f t="array" ref="T108">_xlfn.IFS(L108&lt;=5,IF(ISNUMBER(X108)=TRUE,X108*1.79+AA108*1.8+Z108*5.56+50000*(10^-L108)-Q108,1.79+AA108*1.8+Z108*5.56+50000*(10^-L108)-Q108),L108&gt;5,IF(ISNUMBER(X108)=TRUE,X108*1.79+AA108*1.8+50000*(10^-L108)-Q108,AA108*1.8+50000*(10^-L108)-Q108))</f>
        <v>-61.276144056784247</v>
      </c>
      <c r="U108" s="2">
        <v>11.37</v>
      </c>
      <c r="V108" s="2">
        <v>95.3</v>
      </c>
      <c r="W108" s="3">
        <v>0.23</v>
      </c>
      <c r="X108" s="3">
        <v>0.06</v>
      </c>
      <c r="Z108" s="52">
        <v>0.3</v>
      </c>
      <c r="AA108" s="3">
        <v>6.4000000000000001E-2</v>
      </c>
      <c r="AC108" s="3">
        <v>20.8</v>
      </c>
      <c r="AD108" s="8">
        <v>5.98</v>
      </c>
      <c r="AE108" s="8">
        <v>15.3</v>
      </c>
      <c r="AF108" s="3">
        <v>1.54</v>
      </c>
      <c r="AG108" s="3">
        <v>8.6</v>
      </c>
      <c r="AH108" s="2" t="s">
        <v>161</v>
      </c>
      <c r="AI108" s="2" t="s">
        <v>162</v>
      </c>
      <c r="AJ108" s="3" t="s">
        <v>159</v>
      </c>
      <c r="AN108" s="1">
        <f>S108*J108*0.012</f>
        <v>-9965.0591999999997</v>
      </c>
      <c r="AO108" s="1">
        <f>W108*J108*0.012</f>
        <v>50.262360000000001</v>
      </c>
      <c r="AP108" s="1">
        <f>Z108*J108*0.012</f>
        <v>65.559600000000003</v>
      </c>
      <c r="AQ108" s="1">
        <f>AA108*J108*0.012</f>
        <v>13.986048000000002</v>
      </c>
      <c r="AR108" s="1">
        <f>AB108*J108*0.012</f>
        <v>0</v>
      </c>
      <c r="AS108" s="1">
        <f t="shared" si="25"/>
        <v>13068.213600000001</v>
      </c>
      <c r="AU108" s="13"/>
      <c r="AV108" s="13"/>
    </row>
    <row r="109" spans="1:48" x14ac:dyDescent="0.3">
      <c r="A109" s="5">
        <v>44964</v>
      </c>
      <c r="B109" s="12" t="s">
        <v>43</v>
      </c>
      <c r="C109" t="s">
        <v>44</v>
      </c>
      <c r="E109" t="s">
        <v>45</v>
      </c>
      <c r="F109" s="11">
        <v>40.66272</v>
      </c>
      <c r="G109" s="11">
        <v>-78.968819999999994</v>
      </c>
      <c r="H109" t="s">
        <v>241</v>
      </c>
      <c r="J109" s="1" t="s">
        <v>219</v>
      </c>
      <c r="L109" s="2">
        <v>7.42</v>
      </c>
      <c r="M109" s="2">
        <v>7</v>
      </c>
      <c r="N109" s="1">
        <v>306</v>
      </c>
      <c r="O109" s="1">
        <v>273</v>
      </c>
      <c r="Q109" s="4">
        <v>57</v>
      </c>
      <c r="R109" s="4">
        <v>65.400000000000006</v>
      </c>
      <c r="S109" s="4">
        <v>-57</v>
      </c>
      <c r="T109" s="4" cm="1">
        <f t="array" ref="T109">_xlfn.IFS(L109&lt;=5,IF(ISNUMBER(X109)=TRUE,X109*1.79+AA109*1.8+Z109*5.56+50000*(10^-L109)-Q109,1.79+AA109*1.8+Z109*5.56+50000*(10^-L109)-Q109),L109&gt;5,IF(ISNUMBER(X109)=TRUE,X109*1.79+AA109*1.8+50000*(10^-L109)-Q109,AA109*1.8+50000*(10^-L109)-Q109))</f>
        <v>-56.748399053018396</v>
      </c>
      <c r="W109" s="3">
        <v>0.191</v>
      </c>
      <c r="X109" s="3">
        <v>0.05</v>
      </c>
      <c r="Z109" s="52">
        <v>0.3</v>
      </c>
      <c r="AA109" s="3">
        <v>8.8999999999999996E-2</v>
      </c>
      <c r="AB109" s="4">
        <v>50.85</v>
      </c>
      <c r="AC109" s="3">
        <v>23.67</v>
      </c>
      <c r="AD109" s="8">
        <v>7.17</v>
      </c>
      <c r="AE109" s="8">
        <v>19.95</v>
      </c>
      <c r="AF109" s="3">
        <v>1.34</v>
      </c>
      <c r="AG109" s="3">
        <v>9.4</v>
      </c>
      <c r="AH109" s="2" t="s">
        <v>161</v>
      </c>
      <c r="AI109" s="2" t="s">
        <v>162</v>
      </c>
      <c r="AJ109" s="3" t="s">
        <v>159</v>
      </c>
      <c r="AU109" s="13"/>
      <c r="AV109" s="13"/>
    </row>
    <row r="110" spans="1:48" x14ac:dyDescent="0.3">
      <c r="A110" s="5">
        <v>45022</v>
      </c>
      <c r="B110" s="12" t="s">
        <v>82</v>
      </c>
      <c r="C110" t="s">
        <v>44</v>
      </c>
      <c r="E110" t="s">
        <v>45</v>
      </c>
      <c r="F110" s="11">
        <v>40.66272</v>
      </c>
      <c r="G110" s="11">
        <v>-78.968819999999994</v>
      </c>
      <c r="H110" t="s">
        <v>241</v>
      </c>
      <c r="J110" s="1" t="s">
        <v>219</v>
      </c>
      <c r="L110" s="2">
        <v>7.65</v>
      </c>
      <c r="M110" s="2">
        <v>7</v>
      </c>
      <c r="N110" s="1">
        <v>224</v>
      </c>
      <c r="O110" s="1">
        <v>231</v>
      </c>
      <c r="Q110" s="4">
        <v>49</v>
      </c>
      <c r="R110" s="4">
        <v>56.4</v>
      </c>
      <c r="S110" s="4">
        <v>-44</v>
      </c>
      <c r="T110" s="4" cm="1">
        <f t="array" ref="T110">_xlfn.IFS(L110&lt;=5,IF(ISNUMBER(X110)=TRUE,X110*1.79+AA110*1.8+Z110*5.56+50000*(10^-L110)-Q110,1.79+AA110*1.8+Z110*5.56+50000*(10^-L110)-Q110),L110&gt;5,IF(ISNUMBER(X110)=TRUE,X110*1.79+AA110*1.8+50000*(10^-L110)-Q110,AA110*1.8+50000*(10^-L110)-Q110))</f>
        <v>-48.787050639430717</v>
      </c>
      <c r="W110" s="3">
        <v>0.24399999999999999</v>
      </c>
      <c r="X110" s="3">
        <v>5.7000000000000002E-2</v>
      </c>
      <c r="Z110" s="52">
        <v>0.3</v>
      </c>
      <c r="AA110" s="3">
        <v>6.0999999999999999E-2</v>
      </c>
      <c r="AB110" s="4">
        <v>43.63</v>
      </c>
      <c r="AC110" s="3">
        <v>18.760000000000002</v>
      </c>
      <c r="AD110" s="8">
        <v>5.92</v>
      </c>
      <c r="AE110" s="8">
        <v>14.81</v>
      </c>
      <c r="AF110" s="3">
        <v>1.48</v>
      </c>
      <c r="AG110" s="3">
        <v>8.8000000000000007</v>
      </c>
      <c r="AH110" s="2" t="s">
        <v>161</v>
      </c>
      <c r="AI110" s="2" t="s">
        <v>162</v>
      </c>
      <c r="AJ110" s="3" t="s">
        <v>159</v>
      </c>
      <c r="AU110" s="13"/>
      <c r="AV110" s="13"/>
    </row>
    <row r="111" spans="1:48" x14ac:dyDescent="0.3">
      <c r="A111" s="5">
        <v>45098</v>
      </c>
      <c r="B111" s="12" t="s">
        <v>269</v>
      </c>
      <c r="C111" t="s">
        <v>44</v>
      </c>
      <c r="E111" t="s">
        <v>45</v>
      </c>
      <c r="F111" s="11">
        <v>40.66272</v>
      </c>
      <c r="G111" s="11">
        <v>-78.968819999999994</v>
      </c>
      <c r="H111" t="s">
        <v>241</v>
      </c>
      <c r="J111" s="1" t="s">
        <v>219</v>
      </c>
      <c r="L111" s="2">
        <v>8.25</v>
      </c>
      <c r="M111" s="2">
        <v>7.9</v>
      </c>
      <c r="N111" s="1">
        <v>504</v>
      </c>
      <c r="O111" s="1">
        <v>504</v>
      </c>
      <c r="P111" s="3">
        <v>18.399999999999999</v>
      </c>
      <c r="Q111" s="4">
        <v>130</v>
      </c>
      <c r="R111" s="4">
        <v>161.6</v>
      </c>
      <c r="S111" s="4">
        <v>-136.6</v>
      </c>
      <c r="T111" s="4" cm="1">
        <f t="array" ref="T111">_xlfn.IFS(L111&lt;=5,IF(ISNUMBER(X111)=TRUE,X111*1.79+AA111*1.8+Z111*5.56+50000*(10^-L111)-Q111,1.79+AA111*1.8+Z111*5.56+50000*(10^-L111)-Q111),L111&gt;5,IF(ISNUMBER(X111)=TRUE,X111*1.79+AA111*1.8+50000*(10^-L111)-Q111,AA111*1.8+50000*(10^-L111)-Q111))</f>
        <v>-129.8094188293374</v>
      </c>
      <c r="W111" s="3">
        <v>0.26700000000000002</v>
      </c>
      <c r="X111" s="3">
        <v>0.05</v>
      </c>
      <c r="Z111" s="52">
        <v>0.3</v>
      </c>
      <c r="AA111" s="3">
        <v>5.6000000000000001E-2</v>
      </c>
      <c r="AB111" s="4">
        <v>70.650000000000006</v>
      </c>
      <c r="AC111" s="3">
        <v>35.32</v>
      </c>
      <c r="AD111" s="8">
        <v>9.57</v>
      </c>
      <c r="AE111" s="8">
        <v>49.11</v>
      </c>
      <c r="AF111" s="3">
        <v>1.9</v>
      </c>
      <c r="AG111" s="3">
        <v>11</v>
      </c>
      <c r="AH111" s="2">
        <v>0.05</v>
      </c>
      <c r="AI111" s="2">
        <v>0.03</v>
      </c>
      <c r="AJ111" s="3">
        <v>0.2</v>
      </c>
      <c r="AU111" s="13"/>
      <c r="AV111" s="13"/>
    </row>
    <row r="112" spans="1:48" x14ac:dyDescent="0.3">
      <c r="A112" s="5">
        <v>45169</v>
      </c>
      <c r="B112" s="12" t="s">
        <v>269</v>
      </c>
      <c r="C112" t="s">
        <v>44</v>
      </c>
      <c r="E112" t="s">
        <v>45</v>
      </c>
      <c r="F112" s="11">
        <v>40.66272</v>
      </c>
      <c r="G112" s="11">
        <v>-78.968819999999994</v>
      </c>
      <c r="H112" t="s">
        <v>241</v>
      </c>
      <c r="J112" s="1" t="s">
        <v>219</v>
      </c>
      <c r="L112" s="2">
        <v>8.0500000000000007</v>
      </c>
      <c r="M112" s="2">
        <v>6.8</v>
      </c>
      <c r="N112" s="1">
        <v>295</v>
      </c>
      <c r="O112" s="6">
        <v>300</v>
      </c>
      <c r="P112" s="3">
        <v>15.5</v>
      </c>
      <c r="Q112" s="4">
        <v>82</v>
      </c>
      <c r="R112" s="40">
        <v>79.2</v>
      </c>
      <c r="S112" s="40">
        <v>-72.599999999999994</v>
      </c>
      <c r="T112" s="4" cm="1">
        <f t="array" ref="T112">_xlfn.IFS(L112&lt;=5,IF(ISNUMBER(X112)=TRUE,X112*1.79+AA112*1.8+Z112*5.56+50000*(10^-L112)-Q112,1.79+AA112*1.8+Z112*5.56+50000*(10^-L112)-Q112),L112&gt;5,IF(ISNUMBER(X112)=TRUE,X112*1.79+AA112*1.8+50000*(10^-L112)-Q112,AA112*1.8+50000*(10^-L112)-Q112))</f>
        <v>-81.80205437453094</v>
      </c>
      <c r="W112" s="3">
        <v>0.254</v>
      </c>
      <c r="X112" s="3">
        <v>0.05</v>
      </c>
      <c r="Z112" s="3">
        <v>0.3</v>
      </c>
      <c r="AA112" s="3">
        <v>0.06</v>
      </c>
      <c r="AB112" s="4">
        <v>55.66</v>
      </c>
      <c r="AC112" s="6">
        <v>28.1</v>
      </c>
      <c r="AD112" s="8">
        <v>7.69</v>
      </c>
      <c r="AE112" s="6">
        <v>21.6</v>
      </c>
      <c r="AF112" s="6">
        <v>1.68</v>
      </c>
      <c r="AG112" s="6">
        <v>8.5</v>
      </c>
      <c r="AH112" s="2">
        <v>0.05</v>
      </c>
      <c r="AI112" s="2">
        <v>0.03</v>
      </c>
      <c r="AJ112" s="3">
        <v>0.2</v>
      </c>
      <c r="AU112" s="13"/>
      <c r="AV112" s="13"/>
    </row>
    <row r="113" spans="1:48" s="7" customFormat="1" x14ac:dyDescent="0.3">
      <c r="A113" s="45" t="s">
        <v>144</v>
      </c>
      <c r="B113" s="46"/>
      <c r="F113" s="47"/>
      <c r="G113" s="47"/>
      <c r="I113" s="15"/>
      <c r="J113" s="57">
        <f>AVERAGE(J107:J112)</f>
        <v>11940.935000000001</v>
      </c>
      <c r="L113" s="15">
        <f t="shared" ref="L113:T113" si="33">AVERAGE(L107:L112)</f>
        <v>7.8266666666666653</v>
      </c>
      <c r="M113" s="15">
        <f t="shared" si="33"/>
        <v>7.3499999999999988</v>
      </c>
      <c r="N113" s="20">
        <f t="shared" si="33"/>
        <v>324.83333333333331</v>
      </c>
      <c r="O113" s="20">
        <f t="shared" si="33"/>
        <v>320.33333333333331</v>
      </c>
      <c r="P113" s="32">
        <f t="shared" si="33"/>
        <v>12.475</v>
      </c>
      <c r="Q113" s="19">
        <f t="shared" si="33"/>
        <v>83.166666666666671</v>
      </c>
      <c r="R113" s="19">
        <f t="shared" si="33"/>
        <v>89.766666666666666</v>
      </c>
      <c r="S113" s="19">
        <f t="shared" si="33"/>
        <v>-75.666666666666671</v>
      </c>
      <c r="T113" s="19">
        <f t="shared" si="33"/>
        <v>-82.930285884434269</v>
      </c>
      <c r="U113" s="15">
        <f>AVERAGE(U107:U111)</f>
        <v>11.45</v>
      </c>
      <c r="V113" s="15">
        <f>AVERAGE(V107:V111)</f>
        <v>96.15</v>
      </c>
      <c r="W113" s="32">
        <f>AVERAGE(W107:W112)</f>
        <v>0.2416666666666667</v>
      </c>
      <c r="X113" s="32">
        <f t="shared" ref="X113:AA113" si="34">AVERAGE(X107:X112)</f>
        <v>6.3833333333333325E-2</v>
      </c>
      <c r="Y113" s="32"/>
      <c r="Z113" s="32">
        <f t="shared" si="34"/>
        <v>0.3</v>
      </c>
      <c r="AA113" s="32">
        <f t="shared" si="34"/>
        <v>6.7333333333333342E-2</v>
      </c>
      <c r="AB113" s="19">
        <f>AVERAGE(AB107:AB112)</f>
        <v>57.024000000000001</v>
      </c>
      <c r="AC113" s="32">
        <f>AVERAGE(AC107:AC112)</f>
        <v>26.334999999999997</v>
      </c>
      <c r="AD113" s="32">
        <f t="shared" ref="AD113:AG113" si="35">AVERAGE(AD107:AD112)</f>
        <v>7.5383333333333331</v>
      </c>
      <c r="AE113" s="32">
        <f t="shared" si="35"/>
        <v>26.01</v>
      </c>
      <c r="AF113" s="32">
        <f t="shared" si="35"/>
        <v>1.61</v>
      </c>
      <c r="AG113" s="32">
        <f t="shared" si="35"/>
        <v>9.4</v>
      </c>
      <c r="AH113" s="15">
        <f>AVERAGE(AH107:AH111)</f>
        <v>0.05</v>
      </c>
      <c r="AI113" s="15">
        <f>AVERAGE(AI107:AI111)</f>
        <v>0.03</v>
      </c>
      <c r="AJ113" s="32">
        <f>AVERAGE(AJ107:AJ111)</f>
        <v>0.2</v>
      </c>
      <c r="AK113" s="32"/>
      <c r="AL113" s="32"/>
      <c r="AM113" s="32"/>
      <c r="AN113" s="32">
        <f t="shared" ref="AN113:AS113" si="36">AVERAGE(AN107:AN111)</f>
        <v>-8323.8062040000004</v>
      </c>
      <c r="AO113" s="32">
        <f t="shared" si="36"/>
        <v>34.113838080000001</v>
      </c>
      <c r="AP113" s="32">
        <f t="shared" si="36"/>
        <v>42.987366000000002</v>
      </c>
      <c r="AQ113" s="32">
        <f t="shared" si="36"/>
        <v>9.5108902800000017</v>
      </c>
      <c r="AR113" s="32">
        <f t="shared" si="36"/>
        <v>2188.8424026000002</v>
      </c>
      <c r="AS113" s="32">
        <f t="shared" si="36"/>
        <v>10487.837364000001</v>
      </c>
      <c r="AU113" s="48"/>
      <c r="AV113" s="48"/>
    </row>
    <row r="114" spans="1:48" x14ac:dyDescent="0.3">
      <c r="F114" s="11"/>
      <c r="G114" s="11"/>
      <c r="AD114" s="8"/>
      <c r="AE114" s="8"/>
      <c r="AU114" s="13"/>
      <c r="AV114" s="13"/>
    </row>
    <row r="115" spans="1:48" x14ac:dyDescent="0.3">
      <c r="A115" s="5">
        <v>36308</v>
      </c>
      <c r="C115" t="s">
        <v>181</v>
      </c>
      <c r="E115" t="s">
        <v>72</v>
      </c>
      <c r="F115" s="11"/>
      <c r="G115" s="11"/>
      <c r="H115" t="s">
        <v>175</v>
      </c>
      <c r="J115" s="1">
        <v>278.31</v>
      </c>
      <c r="M115" s="2">
        <v>2.9</v>
      </c>
      <c r="S115" s="4">
        <v>297</v>
      </c>
      <c r="T115" s="4">
        <f>W115*1.79+AA115*1.8+Z115*5.56+50000*(10^-M115)-Q115</f>
        <v>310.53527058970832</v>
      </c>
      <c r="W115" s="3">
        <v>46.1</v>
      </c>
      <c r="X115" s="3">
        <v>3.06</v>
      </c>
      <c r="Z115" s="3">
        <v>29.2</v>
      </c>
      <c r="AA115" s="3">
        <v>1.51</v>
      </c>
      <c r="AB115" s="4">
        <v>474</v>
      </c>
      <c r="AD115" s="8"/>
      <c r="AE115" s="8"/>
      <c r="AS115" s="1">
        <f t="shared" si="25"/>
        <v>0</v>
      </c>
    </row>
    <row r="116" spans="1:48" x14ac:dyDescent="0.3">
      <c r="A116" s="5">
        <v>35605</v>
      </c>
      <c r="C116" t="s">
        <v>181</v>
      </c>
      <c r="E116" t="s">
        <v>72</v>
      </c>
      <c r="H116" t="s">
        <v>176</v>
      </c>
      <c r="J116" s="1">
        <v>552</v>
      </c>
      <c r="M116" s="2">
        <v>2.8</v>
      </c>
      <c r="S116" s="4">
        <v>392</v>
      </c>
      <c r="T116" s="4">
        <f t="shared" ref="T116:T137" si="37">W116*1.79+AA116*1.8+Z116*5.56+50000*(10^-M116)-Q116</f>
        <v>329.81565962305569</v>
      </c>
      <c r="W116" s="3">
        <v>39.700000000000003</v>
      </c>
      <c r="X116" s="3">
        <v>1.5</v>
      </c>
      <c r="Z116" s="3">
        <v>31.8</v>
      </c>
      <c r="AA116" s="3">
        <v>1.5</v>
      </c>
      <c r="AB116" s="4">
        <v>550</v>
      </c>
      <c r="AS116" s="1">
        <f t="shared" si="25"/>
        <v>0</v>
      </c>
    </row>
    <row r="117" spans="1:48" x14ac:dyDescent="0.3">
      <c r="A117" s="5">
        <v>35621</v>
      </c>
      <c r="C117" t="s">
        <v>181</v>
      </c>
      <c r="E117" t="s">
        <v>72</v>
      </c>
      <c r="F117" s="11"/>
      <c r="G117" s="11"/>
      <c r="H117" t="s">
        <v>176</v>
      </c>
      <c r="J117" s="1">
        <v>162</v>
      </c>
      <c r="M117" s="2">
        <v>2.9</v>
      </c>
      <c r="S117" s="4">
        <v>404</v>
      </c>
      <c r="T117" s="4">
        <f t="shared" si="37"/>
        <v>303.16527058970831</v>
      </c>
      <c r="W117" s="3">
        <v>40.5</v>
      </c>
      <c r="X117" s="3">
        <v>11.34</v>
      </c>
      <c r="Z117" s="3">
        <v>29.7</v>
      </c>
      <c r="AA117" s="3">
        <v>1.44</v>
      </c>
      <c r="AB117" s="4">
        <v>446</v>
      </c>
      <c r="AD117" s="8"/>
      <c r="AE117" s="8"/>
      <c r="AS117" s="1">
        <f t="shared" si="25"/>
        <v>0</v>
      </c>
      <c r="AU117" s="13"/>
      <c r="AV117" s="13"/>
    </row>
    <row r="118" spans="1:48" x14ac:dyDescent="0.3">
      <c r="A118" s="5">
        <v>35639</v>
      </c>
      <c r="C118" t="s">
        <v>181</v>
      </c>
      <c r="E118" t="s">
        <v>72</v>
      </c>
      <c r="F118" s="11"/>
      <c r="G118" s="11"/>
      <c r="H118" t="s">
        <v>176</v>
      </c>
      <c r="J118" s="1">
        <v>162</v>
      </c>
      <c r="M118" s="2">
        <v>3</v>
      </c>
      <c r="S118" s="4">
        <v>394</v>
      </c>
      <c r="T118" s="4">
        <f t="shared" si="37"/>
        <v>287.33100000000002</v>
      </c>
      <c r="W118" s="3">
        <v>45.9</v>
      </c>
      <c r="X118" s="3">
        <v>25.5</v>
      </c>
      <c r="Z118" s="3">
        <v>27.4</v>
      </c>
      <c r="AA118" s="3">
        <v>1.57</v>
      </c>
      <c r="AB118" s="4">
        <v>417</v>
      </c>
      <c r="AD118" s="8"/>
      <c r="AE118" s="8"/>
      <c r="AS118" s="1">
        <f t="shared" si="25"/>
        <v>0</v>
      </c>
    </row>
    <row r="119" spans="1:48" x14ac:dyDescent="0.3">
      <c r="A119" s="5">
        <v>35655</v>
      </c>
      <c r="C119" t="s">
        <v>181</v>
      </c>
      <c r="E119" t="s">
        <v>72</v>
      </c>
      <c r="H119" t="s">
        <v>176</v>
      </c>
      <c r="J119" s="1">
        <v>71</v>
      </c>
      <c r="M119" s="2">
        <v>3</v>
      </c>
      <c r="S119" s="4">
        <v>368</v>
      </c>
      <c r="T119" s="4">
        <f t="shared" si="37"/>
        <v>299.50200000000001</v>
      </c>
      <c r="W119" s="3">
        <v>53.2</v>
      </c>
      <c r="X119" s="3">
        <v>36.72</v>
      </c>
      <c r="Z119" s="3">
        <v>27.2</v>
      </c>
      <c r="AA119" s="3">
        <v>1.69</v>
      </c>
      <c r="AB119" s="4">
        <v>394</v>
      </c>
      <c r="AS119" s="1">
        <f t="shared" si="25"/>
        <v>0</v>
      </c>
    </row>
    <row r="120" spans="1:48" x14ac:dyDescent="0.3">
      <c r="A120" s="5">
        <v>35677</v>
      </c>
      <c r="C120" t="s">
        <v>181</v>
      </c>
      <c r="E120" t="s">
        <v>72</v>
      </c>
      <c r="F120" s="11"/>
      <c r="G120" s="11"/>
      <c r="H120" t="s">
        <v>176</v>
      </c>
      <c r="J120" s="1">
        <v>57</v>
      </c>
      <c r="M120" s="2">
        <v>3.1</v>
      </c>
      <c r="S120" s="4">
        <v>340</v>
      </c>
      <c r="T120" s="4">
        <f t="shared" si="37"/>
        <v>290.15241173621405</v>
      </c>
      <c r="W120" s="3">
        <v>57.8</v>
      </c>
      <c r="X120" s="3">
        <v>45.9</v>
      </c>
      <c r="Z120" s="3">
        <v>25.9</v>
      </c>
      <c r="AA120" s="3">
        <v>1.65</v>
      </c>
      <c r="AB120" s="4">
        <v>359</v>
      </c>
      <c r="AD120" s="8"/>
      <c r="AE120" s="8"/>
      <c r="AS120" s="1">
        <f t="shared" si="25"/>
        <v>0</v>
      </c>
      <c r="AU120" s="13"/>
      <c r="AV120" s="13"/>
    </row>
    <row r="121" spans="1:48" x14ac:dyDescent="0.3">
      <c r="A121" s="5">
        <v>35705</v>
      </c>
      <c r="C121" t="s">
        <v>181</v>
      </c>
      <c r="E121" t="s">
        <v>72</v>
      </c>
      <c r="F121" s="11"/>
      <c r="G121" s="11"/>
      <c r="H121" t="s">
        <v>176</v>
      </c>
      <c r="J121" s="1">
        <v>41.43</v>
      </c>
      <c r="M121" s="2">
        <v>3.1</v>
      </c>
      <c r="S121" s="4">
        <v>398</v>
      </c>
      <c r="T121" s="4">
        <f t="shared" si="37"/>
        <v>323.75641173621409</v>
      </c>
      <c r="W121" s="3">
        <v>65</v>
      </c>
      <c r="X121" s="3">
        <v>47.94</v>
      </c>
      <c r="Z121" s="3">
        <v>29.6</v>
      </c>
      <c r="AA121" s="3">
        <v>1.73</v>
      </c>
      <c r="AB121" s="4">
        <v>628</v>
      </c>
      <c r="AD121" s="8"/>
      <c r="AE121" s="8"/>
      <c r="AS121" s="1">
        <f t="shared" si="25"/>
        <v>0</v>
      </c>
    </row>
    <row r="122" spans="1:48" x14ac:dyDescent="0.3">
      <c r="A122" s="5">
        <v>35779</v>
      </c>
      <c r="C122" t="s">
        <v>181</v>
      </c>
      <c r="E122" t="s">
        <v>72</v>
      </c>
      <c r="H122" t="s">
        <v>176</v>
      </c>
      <c r="J122" s="1">
        <v>278.27999999999997</v>
      </c>
      <c r="M122" s="2">
        <v>2.9</v>
      </c>
      <c r="S122" s="4">
        <v>448</v>
      </c>
      <c r="T122" s="4">
        <f t="shared" si="37"/>
        <v>357.84927058970834</v>
      </c>
      <c r="W122" s="3">
        <v>61.9</v>
      </c>
      <c r="X122" s="3">
        <v>38.25</v>
      </c>
      <c r="Z122" s="3">
        <v>32.5</v>
      </c>
      <c r="AA122" s="3">
        <v>1.89</v>
      </c>
      <c r="AB122" s="4">
        <v>506</v>
      </c>
      <c r="AS122" s="1">
        <f t="shared" si="25"/>
        <v>0</v>
      </c>
    </row>
    <row r="123" spans="1:48" x14ac:dyDescent="0.3">
      <c r="A123" s="5">
        <v>35941</v>
      </c>
      <c r="C123" t="s">
        <v>181</v>
      </c>
      <c r="E123" t="s">
        <v>72</v>
      </c>
      <c r="F123" s="11"/>
      <c r="G123" s="11"/>
      <c r="H123" t="s">
        <v>176</v>
      </c>
      <c r="J123" s="1">
        <v>457.89</v>
      </c>
      <c r="M123" s="2">
        <v>2.8</v>
      </c>
      <c r="S123" s="4">
        <v>186</v>
      </c>
      <c r="T123" s="4">
        <f t="shared" si="37"/>
        <v>310.91765962305567</v>
      </c>
      <c r="W123" s="3">
        <v>42.9</v>
      </c>
      <c r="X123" s="3">
        <v>0.68</v>
      </c>
      <c r="Z123" s="3">
        <v>27.4</v>
      </c>
      <c r="AA123" s="3">
        <v>1.41</v>
      </c>
      <c r="AB123" s="4">
        <v>583</v>
      </c>
      <c r="AD123" s="8"/>
      <c r="AE123" s="8"/>
      <c r="AS123" s="1">
        <f t="shared" si="25"/>
        <v>0</v>
      </c>
      <c r="AU123" s="13"/>
      <c r="AV123" s="13"/>
    </row>
    <row r="124" spans="1:48" x14ac:dyDescent="0.3">
      <c r="A124" s="5">
        <v>36095</v>
      </c>
      <c r="C124" t="s">
        <v>181</v>
      </c>
      <c r="E124" t="s">
        <v>72</v>
      </c>
      <c r="F124" s="11"/>
      <c r="G124" s="11"/>
      <c r="H124" t="s">
        <v>176</v>
      </c>
      <c r="J124" s="1" t="s">
        <v>172</v>
      </c>
      <c r="M124" s="2">
        <v>3.1</v>
      </c>
      <c r="S124" s="4">
        <v>164</v>
      </c>
      <c r="T124" s="4">
        <f t="shared" si="37"/>
        <v>256.98741173621403</v>
      </c>
      <c r="W124" s="3">
        <v>47.9</v>
      </c>
      <c r="X124" s="3">
        <v>41.31</v>
      </c>
      <c r="Z124" s="3">
        <v>23.2</v>
      </c>
      <c r="AA124" s="3">
        <v>1.41</v>
      </c>
      <c r="AB124" s="4">
        <v>501</v>
      </c>
      <c r="AD124" s="8"/>
      <c r="AE124" s="8"/>
    </row>
    <row r="125" spans="1:48" x14ac:dyDescent="0.3">
      <c r="A125" s="5">
        <v>36308</v>
      </c>
      <c r="C125" t="s">
        <v>181</v>
      </c>
      <c r="E125" t="s">
        <v>72</v>
      </c>
      <c r="H125" t="s">
        <v>176</v>
      </c>
      <c r="J125" s="1">
        <v>278.31</v>
      </c>
      <c r="M125" s="2">
        <v>3</v>
      </c>
      <c r="S125" s="4">
        <v>364</v>
      </c>
      <c r="T125" s="4">
        <f t="shared" si="37"/>
        <v>297.589</v>
      </c>
      <c r="W125" s="3">
        <v>46.1</v>
      </c>
      <c r="X125" s="3">
        <v>3.06</v>
      </c>
      <c r="Z125" s="3">
        <v>29.2</v>
      </c>
      <c r="AA125" s="3">
        <v>1.51</v>
      </c>
      <c r="AB125" s="4">
        <v>474</v>
      </c>
      <c r="AS125" s="1">
        <f t="shared" si="25"/>
        <v>0</v>
      </c>
    </row>
    <row r="126" spans="1:48" x14ac:dyDescent="0.3">
      <c r="A126" s="5">
        <v>37406</v>
      </c>
      <c r="C126" t="s">
        <v>181</v>
      </c>
      <c r="E126" t="s">
        <v>72</v>
      </c>
      <c r="F126" s="11"/>
      <c r="G126" s="11"/>
      <c r="H126" t="s">
        <v>177</v>
      </c>
      <c r="M126" s="2">
        <v>2.72</v>
      </c>
      <c r="S126" s="4">
        <v>524.29999999999995</v>
      </c>
      <c r="T126" s="4">
        <f t="shared" si="37"/>
        <v>427.52393589816234</v>
      </c>
      <c r="W126" s="3">
        <v>71.59</v>
      </c>
      <c r="X126" s="3" t="s">
        <v>172</v>
      </c>
      <c r="Z126" s="3">
        <v>36.130000000000003</v>
      </c>
      <c r="AA126" s="3">
        <v>1.79</v>
      </c>
      <c r="AB126" s="4">
        <v>793.3</v>
      </c>
      <c r="AD126" s="8"/>
      <c r="AE126" s="8"/>
      <c r="AS126" s="1">
        <f t="shared" si="25"/>
        <v>0</v>
      </c>
      <c r="AU126" s="13"/>
      <c r="AV126" s="13"/>
    </row>
    <row r="127" spans="1:48" x14ac:dyDescent="0.3">
      <c r="A127" s="5">
        <v>37435</v>
      </c>
      <c r="C127" t="s">
        <v>181</v>
      </c>
      <c r="E127" t="s">
        <v>72</v>
      </c>
      <c r="F127" s="11"/>
      <c r="G127" s="11"/>
      <c r="H127" t="s">
        <v>177</v>
      </c>
      <c r="M127" s="2">
        <v>2.77</v>
      </c>
      <c r="S127" s="4">
        <v>418.8</v>
      </c>
      <c r="T127" s="4">
        <f t="shared" si="37"/>
        <v>327.10238262308712</v>
      </c>
      <c r="W127" s="3">
        <v>43.78</v>
      </c>
      <c r="X127" s="3" t="s">
        <v>172</v>
      </c>
      <c r="Z127" s="3">
        <v>28.95</v>
      </c>
      <c r="AA127" s="3">
        <v>1.59</v>
      </c>
      <c r="AB127" s="4">
        <v>666</v>
      </c>
      <c r="AD127" s="8"/>
      <c r="AE127" s="8"/>
      <c r="AS127" s="1">
        <f t="shared" si="25"/>
        <v>0</v>
      </c>
    </row>
    <row r="128" spans="1:48" x14ac:dyDescent="0.3">
      <c r="A128" s="5">
        <v>37463</v>
      </c>
      <c r="C128" t="s">
        <v>181</v>
      </c>
      <c r="E128" t="s">
        <v>72</v>
      </c>
      <c r="H128" t="s">
        <v>177</v>
      </c>
      <c r="M128" s="2">
        <v>2.77</v>
      </c>
      <c r="S128" s="4">
        <v>401.5</v>
      </c>
      <c r="T128" s="4">
        <f t="shared" si="37"/>
        <v>360.20088262308713</v>
      </c>
      <c r="W128" s="3">
        <v>50.81</v>
      </c>
      <c r="X128" s="3" t="s">
        <v>172</v>
      </c>
      <c r="Z128" s="3">
        <v>32.630000000000003</v>
      </c>
      <c r="AA128" s="3">
        <v>1.62</v>
      </c>
      <c r="AB128" s="4">
        <v>760.6</v>
      </c>
      <c r="AS128" s="1">
        <f t="shared" si="25"/>
        <v>0</v>
      </c>
    </row>
    <row r="129" spans="1:50" x14ac:dyDescent="0.3">
      <c r="A129" s="5">
        <v>37508</v>
      </c>
      <c r="C129" t="s">
        <v>181</v>
      </c>
      <c r="E129" t="s">
        <v>72</v>
      </c>
      <c r="F129" s="11"/>
      <c r="G129" s="11"/>
      <c r="H129" t="s">
        <v>177</v>
      </c>
      <c r="M129" s="2">
        <v>2.99</v>
      </c>
      <c r="S129" s="4">
        <v>430.7</v>
      </c>
      <c r="T129" s="4">
        <f t="shared" si="37"/>
        <v>344.26614961403766</v>
      </c>
      <c r="W129" s="3">
        <v>57.17</v>
      </c>
      <c r="X129" s="3" t="s">
        <v>172</v>
      </c>
      <c r="Z129" s="3">
        <v>33.770000000000003</v>
      </c>
      <c r="AA129" s="3">
        <v>1.67</v>
      </c>
      <c r="AB129" s="4">
        <v>790.3</v>
      </c>
      <c r="AD129" s="8"/>
      <c r="AE129" s="8"/>
      <c r="AS129" s="1">
        <f t="shared" si="25"/>
        <v>0</v>
      </c>
      <c r="AU129" s="13"/>
      <c r="AV129" s="13"/>
    </row>
    <row r="130" spans="1:50" x14ac:dyDescent="0.3">
      <c r="A130" s="5">
        <v>37529</v>
      </c>
      <c r="C130" t="s">
        <v>181</v>
      </c>
      <c r="E130" t="s">
        <v>72</v>
      </c>
      <c r="F130" s="11"/>
      <c r="G130" s="11"/>
      <c r="H130" t="s">
        <v>177</v>
      </c>
      <c r="M130" s="2">
        <v>2.96</v>
      </c>
      <c r="S130" s="4">
        <v>434.5</v>
      </c>
      <c r="T130" s="4">
        <f t="shared" si="37"/>
        <v>322.1562098071592</v>
      </c>
      <c r="W130" s="3">
        <v>32.57</v>
      </c>
      <c r="X130" s="3" t="s">
        <v>172</v>
      </c>
      <c r="Z130" s="3">
        <v>37</v>
      </c>
      <c r="AA130" s="3">
        <v>1.84</v>
      </c>
      <c r="AB130" s="4">
        <v>705.5</v>
      </c>
      <c r="AD130" s="8"/>
      <c r="AE130" s="8"/>
      <c r="AS130" s="1">
        <f t="shared" si="25"/>
        <v>0</v>
      </c>
    </row>
    <row r="131" spans="1:50" x14ac:dyDescent="0.3">
      <c r="A131" s="5">
        <v>37559</v>
      </c>
      <c r="C131" t="s">
        <v>181</v>
      </c>
      <c r="E131" t="s">
        <v>72</v>
      </c>
      <c r="H131" t="s">
        <v>177</v>
      </c>
      <c r="M131" s="2">
        <v>2.94</v>
      </c>
      <c r="S131" s="4">
        <v>469.9</v>
      </c>
      <c r="T131" s="4">
        <f t="shared" si="37"/>
        <v>408.99318107484413</v>
      </c>
      <c r="W131" s="3">
        <v>75.61</v>
      </c>
      <c r="X131" s="3" t="s">
        <v>172</v>
      </c>
      <c r="Z131" s="3">
        <v>38.31</v>
      </c>
      <c r="AA131" s="3">
        <v>1.8</v>
      </c>
      <c r="AB131" s="4">
        <v>852.1</v>
      </c>
      <c r="AS131" s="1">
        <f t="shared" si="25"/>
        <v>0</v>
      </c>
    </row>
    <row r="132" spans="1:50" x14ac:dyDescent="0.3">
      <c r="A132" s="5">
        <v>37586</v>
      </c>
      <c r="C132" t="s">
        <v>181</v>
      </c>
      <c r="E132" t="s">
        <v>72</v>
      </c>
      <c r="F132" s="11"/>
      <c r="G132" s="11"/>
      <c r="H132" t="s">
        <v>177</v>
      </c>
      <c r="M132" s="2">
        <v>2.86</v>
      </c>
      <c r="S132" s="4">
        <v>462.9</v>
      </c>
      <c r="T132" s="4">
        <f t="shared" si="37"/>
        <v>415.98061323014423</v>
      </c>
      <c r="W132" s="3">
        <v>75.739999999999995</v>
      </c>
      <c r="X132" s="3" t="s">
        <v>172</v>
      </c>
      <c r="Z132" s="3">
        <v>37.43</v>
      </c>
      <c r="AA132" s="3">
        <v>1.82</v>
      </c>
      <c r="AB132" s="4">
        <v>844.2</v>
      </c>
      <c r="AD132" s="8"/>
      <c r="AE132" s="8"/>
      <c r="AS132" s="1">
        <f t="shared" si="25"/>
        <v>0</v>
      </c>
      <c r="AU132" s="13"/>
      <c r="AV132" s="13"/>
    </row>
    <row r="133" spans="1:50" x14ac:dyDescent="0.3">
      <c r="A133" s="5">
        <v>37613</v>
      </c>
      <c r="C133" t="s">
        <v>181</v>
      </c>
      <c r="E133" t="s">
        <v>72</v>
      </c>
      <c r="H133" t="s">
        <v>177</v>
      </c>
      <c r="M133" s="2">
        <v>3.03</v>
      </c>
      <c r="S133" s="4">
        <v>488.9</v>
      </c>
      <c r="T133" s="4">
        <f t="shared" si="37"/>
        <v>413.11361503984961</v>
      </c>
      <c r="W133" s="3">
        <v>90.03</v>
      </c>
      <c r="X133" s="3" t="s">
        <v>172</v>
      </c>
      <c r="Z133" s="3">
        <v>36.270000000000003</v>
      </c>
      <c r="AA133" s="3">
        <v>2.02</v>
      </c>
      <c r="AB133" s="4">
        <v>732.6</v>
      </c>
      <c r="AD133" s="8"/>
      <c r="AE133" s="8"/>
      <c r="AS133" s="1">
        <f t="shared" si="25"/>
        <v>0</v>
      </c>
    </row>
    <row r="134" spans="1:50" x14ac:dyDescent="0.3">
      <c r="A134" s="5">
        <v>37651</v>
      </c>
      <c r="C134" t="s">
        <v>181</v>
      </c>
      <c r="E134" t="s">
        <v>72</v>
      </c>
      <c r="H134" t="s">
        <v>177</v>
      </c>
      <c r="M134" s="2">
        <v>2.88</v>
      </c>
      <c r="S134" s="4">
        <v>490.4</v>
      </c>
      <c r="T134" s="4">
        <f t="shared" si="37"/>
        <v>402.41143692782038</v>
      </c>
      <c r="W134" s="3">
        <v>61.5</v>
      </c>
      <c r="X134" s="3" t="s">
        <v>172</v>
      </c>
      <c r="Z134" s="3">
        <v>40.11</v>
      </c>
      <c r="AA134" s="3">
        <v>1.89</v>
      </c>
      <c r="AB134" s="4">
        <v>783.7</v>
      </c>
      <c r="AS134" s="1">
        <f t="shared" si="25"/>
        <v>0</v>
      </c>
    </row>
    <row r="135" spans="1:50" x14ac:dyDescent="0.3">
      <c r="A135" s="5">
        <v>37684</v>
      </c>
      <c r="C135" t="s">
        <v>181</v>
      </c>
      <c r="E135" t="s">
        <v>72</v>
      </c>
      <c r="H135" t="s">
        <v>177</v>
      </c>
      <c r="M135" s="2">
        <v>2.81</v>
      </c>
      <c r="S135" s="4">
        <v>395.9</v>
      </c>
      <c r="T135" s="4">
        <f t="shared" si="37"/>
        <v>353.30103094562401</v>
      </c>
      <c r="W135" s="3">
        <v>48.9</v>
      </c>
      <c r="X135" s="3" t="s">
        <v>172</v>
      </c>
      <c r="Z135" s="3">
        <v>33.270000000000003</v>
      </c>
      <c r="AA135" s="3">
        <v>1.86</v>
      </c>
      <c r="AB135" s="4">
        <v>708.4</v>
      </c>
      <c r="AS135" s="1">
        <f t="shared" si="25"/>
        <v>0</v>
      </c>
    </row>
    <row r="136" spans="1:50" x14ac:dyDescent="0.3">
      <c r="A136" s="5">
        <v>37710</v>
      </c>
      <c r="C136" t="s">
        <v>181</v>
      </c>
      <c r="E136" t="s">
        <v>72</v>
      </c>
      <c r="H136" t="s">
        <v>177</v>
      </c>
      <c r="M136" s="2">
        <v>2.77</v>
      </c>
      <c r="S136" s="4">
        <v>426.3</v>
      </c>
      <c r="T136" s="4">
        <f t="shared" si="37"/>
        <v>365.72058262308707</v>
      </c>
      <c r="W136" s="3">
        <v>43.16</v>
      </c>
      <c r="X136" s="3" t="s">
        <v>172</v>
      </c>
      <c r="Z136" s="3">
        <v>36.049999999999997</v>
      </c>
      <c r="AA136" s="3">
        <v>1.73</v>
      </c>
      <c r="AB136" s="4">
        <v>707.8</v>
      </c>
      <c r="AS136" s="1">
        <f t="shared" ref="AS136:AS227" si="38">0.012*R136*J136</f>
        <v>0</v>
      </c>
    </row>
    <row r="137" spans="1:50" x14ac:dyDescent="0.3">
      <c r="A137" s="5">
        <v>37741</v>
      </c>
      <c r="C137" t="s">
        <v>181</v>
      </c>
      <c r="E137" t="s">
        <v>72</v>
      </c>
      <c r="H137" t="s">
        <v>177</v>
      </c>
      <c r="M137" s="2">
        <v>2.84</v>
      </c>
      <c r="S137" s="4">
        <v>390.1</v>
      </c>
      <c r="T137" s="4">
        <f t="shared" si="37"/>
        <v>316.01518853729635</v>
      </c>
      <c r="W137" s="3">
        <v>36.6</v>
      </c>
      <c r="X137" s="3" t="s">
        <v>172</v>
      </c>
      <c r="Z137" s="3">
        <v>31.57</v>
      </c>
      <c r="AA137" s="3">
        <v>1.5</v>
      </c>
      <c r="AB137" s="4">
        <v>689.1</v>
      </c>
      <c r="AS137" s="1">
        <f t="shared" si="38"/>
        <v>0</v>
      </c>
    </row>
    <row r="138" spans="1:50" x14ac:dyDescent="0.3">
      <c r="A138" s="5">
        <v>44845</v>
      </c>
      <c r="B138" s="12" t="s">
        <v>70</v>
      </c>
      <c r="C138" t="s">
        <v>71</v>
      </c>
      <c r="E138" t="s">
        <v>72</v>
      </c>
      <c r="F138" s="11">
        <v>40.665210000000002</v>
      </c>
      <c r="G138" s="11">
        <v>-78.972009999999997</v>
      </c>
      <c r="H138" t="s">
        <v>93</v>
      </c>
      <c r="I138" s="2">
        <f>I107-0.24</f>
        <v>6.66</v>
      </c>
      <c r="J138" s="1">
        <v>112</v>
      </c>
      <c r="K138" t="s">
        <v>96</v>
      </c>
      <c r="L138" s="2">
        <v>2.71</v>
      </c>
      <c r="M138" s="2">
        <v>2.9</v>
      </c>
      <c r="N138" s="1">
        <v>1535</v>
      </c>
      <c r="O138" s="1">
        <v>1332</v>
      </c>
      <c r="P138" s="3">
        <v>11.1</v>
      </c>
      <c r="Q138" s="4">
        <v>0</v>
      </c>
      <c r="R138" s="4">
        <v>0</v>
      </c>
      <c r="S138" s="4">
        <v>376.6</v>
      </c>
      <c r="T138" s="4" cm="1">
        <f t="array" ref="T138">_xlfn.IFS(L138&lt;=5,IF(ISNUMBER(X138)=TRUE,X138*1.79+AA138*1.8+Z138*5.56+50000*(10^-L138)-Q138,1.79+AA138*1.8+Z138*5.56+50000*(10^-L138)-Q138),L138&gt;5,IF(ISNUMBER(X138)=TRUE,X138*1.79+AA138*1.8+50000*(10^-L138)-Q138,AA138*1.8+50000*(10^-L138)-Q138))</f>
        <v>358.19002998790222</v>
      </c>
      <c r="U138" s="2">
        <v>2.4</v>
      </c>
      <c r="V138" s="2">
        <v>2.2000000000000002</v>
      </c>
      <c r="W138" s="3">
        <v>46.34</v>
      </c>
      <c r="X138" s="3">
        <f>W138</f>
        <v>46.34</v>
      </c>
      <c r="Z138" s="3">
        <v>31.45</v>
      </c>
      <c r="AA138" s="3">
        <v>1.6040000000000001</v>
      </c>
      <c r="AB138" s="4">
        <v>773.4</v>
      </c>
      <c r="AC138" s="3">
        <v>95.32</v>
      </c>
      <c r="AD138" s="8">
        <v>30.05</v>
      </c>
      <c r="AE138" s="8">
        <v>13.81</v>
      </c>
      <c r="AF138" s="3">
        <v>2.54</v>
      </c>
      <c r="AG138" s="3">
        <v>4.0999999999999996</v>
      </c>
      <c r="AH138" s="2">
        <v>0.22700000000000001</v>
      </c>
      <c r="AI138" s="2">
        <v>0.44</v>
      </c>
      <c r="AJ138" s="3" t="s">
        <v>159</v>
      </c>
      <c r="AN138" s="1">
        <f t="shared" ref="AN138:AN143" si="39">S138*J138*0.012</f>
        <v>506.15040000000005</v>
      </c>
      <c r="AO138" s="1">
        <f t="shared" ref="AO138:AO143" si="40">W138*J138*0.012</f>
        <v>62.28096</v>
      </c>
      <c r="AP138" s="1">
        <f t="shared" ref="AP138:AP143" si="41">Z138*J138*0.012</f>
        <v>42.268799999999999</v>
      </c>
      <c r="AQ138" s="1">
        <f t="shared" ref="AQ138:AQ143" si="42">AA138*J138*0.012</f>
        <v>2.1557760000000004</v>
      </c>
      <c r="AR138" s="1">
        <f t="shared" ref="AR138:AR143" si="43">AB138*J138*0.012</f>
        <v>1039.4496000000001</v>
      </c>
      <c r="AS138" s="1">
        <f t="shared" si="38"/>
        <v>0</v>
      </c>
      <c r="AT138" t="s">
        <v>155</v>
      </c>
      <c r="AU138" s="13" t="str">
        <f>CONCATENATE(TEXT(ROUNDDOWN(ABS(F138),0),"00"),"° ",TEXT(ROUNDDOWN(ABS((F138-ROUNDDOWN(F138,0))*60),0),"00"),"' ",TEXT(TRUNC((ABS((F138-ROUNDDOWN(F138,0))*60)-ROUNDDOWN(ABS((F138-ROUNDDOWN(F138,0))*60),0))*60,2),"00.00"),"""",IF(F138&lt;0," S"," N"))</f>
        <v>40° 39' 54.75" N</v>
      </c>
      <c r="AV138" s="13" t="str">
        <f>CONCATENATE(TEXT(ROUNDDOWN(ABS(G138),0),"000"),"° ",TEXT(ROUNDDOWN(ABS((G138-ROUNDDOWN(G138,0))*60),0),"00"),"' ",TEXT(TRUNC((ABS((G138-ROUNDDOWN(G138,0))*60)-ROUNDDOWN(ABS((G138-ROUNDDOWN(G138,0))*60),0))*60,2),"00.00"),"""",IF(G138&lt;0," W"," E"))</f>
        <v>078° 58' 19.23" W</v>
      </c>
    </row>
    <row r="139" spans="1:50" x14ac:dyDescent="0.3">
      <c r="A139" s="5">
        <v>44903</v>
      </c>
      <c r="B139" s="12" t="s">
        <v>70</v>
      </c>
      <c r="C139" t="s">
        <v>71</v>
      </c>
      <c r="E139" t="s">
        <v>72</v>
      </c>
      <c r="F139" s="11">
        <v>40.665210000000002</v>
      </c>
      <c r="G139" s="11">
        <v>-78.972009999999997</v>
      </c>
      <c r="H139" t="s">
        <v>93</v>
      </c>
      <c r="I139" s="2">
        <f>I138</f>
        <v>6.66</v>
      </c>
      <c r="J139" s="1">
        <v>275</v>
      </c>
      <c r="K139" t="s">
        <v>96</v>
      </c>
      <c r="L139" s="2">
        <v>2.82</v>
      </c>
      <c r="M139" s="2">
        <v>2.9</v>
      </c>
      <c r="N139" s="1">
        <v>1502</v>
      </c>
      <c r="O139" s="1">
        <v>1334</v>
      </c>
      <c r="P139" s="3">
        <v>10.8</v>
      </c>
      <c r="Q139" s="4">
        <v>0</v>
      </c>
      <c r="R139" s="4">
        <v>0</v>
      </c>
      <c r="S139" s="4">
        <v>372.6</v>
      </c>
      <c r="T139" s="4" cm="1">
        <f t="array" ref="T139">_xlfn.IFS(L139&lt;=5,IF(ISNUMBER(X139)=TRUE,X139*1.79+AA139*1.8+Z139*5.56+50000*(10^-L139)-Q139,1.79+AA139*1.8+Z139*5.56+50000*(10^-L139)-Q139),L139&gt;5,IF(ISNUMBER(X139)=TRUE,X139*1.79+AA139*1.8+50000*(10^-L139)-Q139,AA139*1.8+50000*(10^-L139)-Q139))</f>
        <v>314.16083242181037</v>
      </c>
      <c r="U139" s="2">
        <v>0.2</v>
      </c>
      <c r="V139" s="2">
        <v>1.8</v>
      </c>
      <c r="W139" s="3">
        <v>42.8</v>
      </c>
      <c r="X139" s="3">
        <v>36.063000000000002</v>
      </c>
      <c r="Z139" s="22">
        <v>30.8</v>
      </c>
      <c r="AA139" s="3">
        <v>1.49</v>
      </c>
      <c r="AC139" s="3">
        <v>92.6</v>
      </c>
      <c r="AD139" s="8">
        <v>29.4</v>
      </c>
      <c r="AE139" s="8">
        <v>15.1</v>
      </c>
      <c r="AF139" s="3">
        <v>2.69</v>
      </c>
      <c r="AG139" s="3">
        <v>4.5</v>
      </c>
      <c r="AH139" s="2">
        <v>0.222</v>
      </c>
      <c r="AI139" s="2">
        <v>0.41599999999999998</v>
      </c>
      <c r="AJ139" s="3" t="s">
        <v>159</v>
      </c>
      <c r="AN139" s="1">
        <f t="shared" si="39"/>
        <v>1229.58</v>
      </c>
      <c r="AO139" s="1">
        <f t="shared" si="40"/>
        <v>141.24</v>
      </c>
      <c r="AP139" s="1">
        <f t="shared" si="41"/>
        <v>101.64</v>
      </c>
      <c r="AQ139" s="1">
        <f t="shared" si="42"/>
        <v>4.9169999999999998</v>
      </c>
      <c r="AS139" s="1">
        <f t="shared" si="38"/>
        <v>0</v>
      </c>
      <c r="AU139" s="13"/>
      <c r="AV139" s="13"/>
    </row>
    <row r="140" spans="1:50" x14ac:dyDescent="0.3">
      <c r="A140" s="5">
        <v>44964</v>
      </c>
      <c r="B140" s="12" t="s">
        <v>70</v>
      </c>
      <c r="C140" t="s">
        <v>71</v>
      </c>
      <c r="E140" t="s">
        <v>72</v>
      </c>
      <c r="F140" s="11">
        <v>40.665210000000002</v>
      </c>
      <c r="G140" s="11">
        <v>-78.972009999999997</v>
      </c>
      <c r="H140" t="s">
        <v>241</v>
      </c>
      <c r="J140" s="1">
        <v>120</v>
      </c>
      <c r="K140" t="s">
        <v>96</v>
      </c>
      <c r="L140" s="2">
        <v>2.17</v>
      </c>
      <c r="M140" s="2">
        <v>2.9</v>
      </c>
      <c r="N140" s="1">
        <v>813</v>
      </c>
      <c r="O140" s="1">
        <v>1321</v>
      </c>
      <c r="Q140" s="4">
        <v>0</v>
      </c>
      <c r="R140" s="4">
        <v>0</v>
      </c>
      <c r="S140" s="4">
        <v>329.8</v>
      </c>
      <c r="T140" s="4" cm="1">
        <f t="array" ref="T140">_xlfn.IFS(L140&lt;=5,IF(ISNUMBER(X140)=TRUE,X140*1.79+AA140*1.8+Z140*5.56+50000*(10^-L140)-Q140,1.79+AA140*1.8+Z140*5.56+50000*(10^-L140)-Q140),L140&gt;5,IF(ISNUMBER(X140)=TRUE,X140*1.79+AA140*1.8+50000*(10^-L140)-Q140,AA140*1.8+50000*(10^-L140)-Q140))</f>
        <v>510.33626769599061</v>
      </c>
      <c r="W140" s="23">
        <v>26.85</v>
      </c>
      <c r="X140" s="23">
        <v>5.7220000000000004</v>
      </c>
      <c r="Y140" s="23"/>
      <c r="Z140" s="3">
        <v>28.7</v>
      </c>
      <c r="AA140" s="3">
        <v>1.3779999999999999</v>
      </c>
      <c r="AB140" s="4">
        <v>688.56</v>
      </c>
      <c r="AC140" s="3">
        <v>81.16</v>
      </c>
      <c r="AD140" s="8">
        <v>26.9</v>
      </c>
      <c r="AE140" s="8">
        <v>13.29</v>
      </c>
      <c r="AF140" s="3">
        <v>2.4</v>
      </c>
      <c r="AG140" s="3">
        <v>4</v>
      </c>
      <c r="AH140" s="2">
        <v>0.218</v>
      </c>
      <c r="AI140" s="2">
        <v>0.41</v>
      </c>
      <c r="AJ140" s="3" t="s">
        <v>159</v>
      </c>
      <c r="AN140" s="1">
        <f t="shared" si="39"/>
        <v>474.91200000000003</v>
      </c>
      <c r="AO140" s="1">
        <f t="shared" si="40"/>
        <v>38.664000000000001</v>
      </c>
      <c r="AP140" s="1">
        <f t="shared" si="41"/>
        <v>41.328000000000003</v>
      </c>
      <c r="AQ140" s="1">
        <f t="shared" si="42"/>
        <v>1.9843199999999999</v>
      </c>
      <c r="AR140" s="1">
        <f t="shared" si="43"/>
        <v>991.52639999999997</v>
      </c>
      <c r="AS140" s="1">
        <f t="shared" si="38"/>
        <v>0</v>
      </c>
      <c r="AU140" s="13"/>
      <c r="AV140" s="13"/>
    </row>
    <row r="141" spans="1:50" x14ac:dyDescent="0.3">
      <c r="A141" s="5">
        <v>45022</v>
      </c>
      <c r="B141" s="12" t="s">
        <v>65</v>
      </c>
      <c r="C141" t="s">
        <v>71</v>
      </c>
      <c r="E141" t="s">
        <v>72</v>
      </c>
      <c r="F141" s="11">
        <v>40.665210000000002</v>
      </c>
      <c r="G141" s="11">
        <v>-78.972009999999997</v>
      </c>
      <c r="H141" t="s">
        <v>245</v>
      </c>
      <c r="J141" s="1">
        <v>372</v>
      </c>
      <c r="K141" t="s">
        <v>96</v>
      </c>
      <c r="L141" s="2">
        <v>2.83</v>
      </c>
      <c r="M141" s="2">
        <v>2.9</v>
      </c>
      <c r="N141" s="1">
        <v>1235</v>
      </c>
      <c r="O141" s="1">
        <v>1160</v>
      </c>
      <c r="Q141" s="4">
        <v>0</v>
      </c>
      <c r="R141" s="4">
        <v>0</v>
      </c>
      <c r="S141" s="4">
        <v>297.2</v>
      </c>
      <c r="T141" s="4" cm="1">
        <f t="array" ref="T141">_xlfn.IFS(L141&lt;=5,IF(ISNUMBER(X141)=TRUE,X141*1.79+AA141*1.8+Z141*5.56+50000*(10^-L141)-Q141,1.79+AA141*1.8+Z141*5.56+50000*(10^-L141)-Q141),L141&gt;5,IF(ISNUMBER(X141)=TRUE,X141*1.79+AA141*1.8+50000*(10^-L141)-Q141,AA141*1.8+50000*(10^-L141)-Q141))</f>
        <v>221.97246940841035</v>
      </c>
      <c r="W141" s="23">
        <v>22.1</v>
      </c>
      <c r="X141" s="23">
        <v>1.1950000000000001</v>
      </c>
      <c r="Y141" s="23"/>
      <c r="Z141" s="3">
        <v>25.8</v>
      </c>
      <c r="AA141" s="3">
        <v>1.35</v>
      </c>
      <c r="AB141" s="4">
        <v>626.09</v>
      </c>
      <c r="AC141" s="3">
        <v>81.099999999999994</v>
      </c>
      <c r="AD141" s="8">
        <v>26.5</v>
      </c>
      <c r="AE141" s="8">
        <v>11.3</v>
      </c>
      <c r="AF141" s="3">
        <v>2.2400000000000002</v>
      </c>
      <c r="AG141" s="3">
        <v>4</v>
      </c>
      <c r="AH141" s="2">
        <v>0.191</v>
      </c>
      <c r="AI141" s="2">
        <v>0.36099999999999999</v>
      </c>
      <c r="AJ141" s="3" t="s">
        <v>159</v>
      </c>
      <c r="AN141" s="1">
        <f t="shared" si="39"/>
        <v>1326.7007999999998</v>
      </c>
      <c r="AO141" s="1">
        <f t="shared" si="40"/>
        <v>98.65440000000001</v>
      </c>
      <c r="AP141" s="1">
        <f t="shared" si="41"/>
        <v>115.17120000000001</v>
      </c>
      <c r="AQ141" s="1">
        <f t="shared" si="42"/>
        <v>6.0264000000000006</v>
      </c>
      <c r="AR141" s="1">
        <f t="shared" si="43"/>
        <v>2794.8657600000001</v>
      </c>
      <c r="AS141" s="1">
        <f t="shared" si="38"/>
        <v>0</v>
      </c>
      <c r="AU141" s="13"/>
      <c r="AV141" s="13"/>
    </row>
    <row r="142" spans="1:50" x14ac:dyDescent="0.3">
      <c r="A142" s="5">
        <v>45098</v>
      </c>
      <c r="B142" s="12" t="s">
        <v>284</v>
      </c>
      <c r="C142" t="s">
        <v>71</v>
      </c>
      <c r="E142" t="s">
        <v>72</v>
      </c>
      <c r="F142" s="11">
        <v>40.665210000000002</v>
      </c>
      <c r="G142" s="11">
        <v>-78.972009999999997</v>
      </c>
      <c r="H142" t="s">
        <v>276</v>
      </c>
      <c r="J142" s="1">
        <v>119</v>
      </c>
      <c r="K142" t="s">
        <v>96</v>
      </c>
      <c r="L142" s="2">
        <v>2.68</v>
      </c>
      <c r="M142" s="2">
        <v>2.9</v>
      </c>
      <c r="N142" s="1">
        <v>1235</v>
      </c>
      <c r="O142" s="1">
        <v>1216</v>
      </c>
      <c r="Q142" s="4">
        <v>0</v>
      </c>
      <c r="R142" s="4">
        <v>0</v>
      </c>
      <c r="S142" s="4">
        <v>317.39999999999998</v>
      </c>
      <c r="T142" s="4" cm="1">
        <f t="array" ref="T142">_xlfn.IFS(L142&lt;=5,IF(ISNUMBER(X142)=TRUE,X142*1.79+AA142*1.8+Z142*5.56+50000*(10^-L142)-Q142,1.79+AA142*1.8+Z142*5.56+50000*(10^-L142)-Q142),L142&gt;5,IF(ISNUMBER(X142)=TRUE,X142*1.79+AA142*1.8+50000*(10^-L142)-Q142,AA142*1.8+50000*(10^-L142)-Q142))</f>
        <v>272.7493065427019</v>
      </c>
      <c r="W142" s="23">
        <v>23.06</v>
      </c>
      <c r="X142" s="23">
        <v>6.57</v>
      </c>
      <c r="Y142" s="23"/>
      <c r="Z142" s="3">
        <v>27.73</v>
      </c>
      <c r="AA142" s="3">
        <v>1.3029999999999999</v>
      </c>
      <c r="AB142" s="4">
        <v>643.98</v>
      </c>
      <c r="AC142" s="3">
        <v>77.180000000000007</v>
      </c>
      <c r="AD142" s="8">
        <v>25.28</v>
      </c>
      <c r="AE142" s="8">
        <v>12.1</v>
      </c>
      <c r="AF142" s="3">
        <v>2.15</v>
      </c>
      <c r="AG142" s="3">
        <v>4</v>
      </c>
      <c r="AH142" s="2">
        <v>0.215</v>
      </c>
      <c r="AI142" s="2">
        <v>0.41099999999999998</v>
      </c>
      <c r="AJ142" s="3">
        <v>0.2</v>
      </c>
      <c r="AN142" s="1">
        <f t="shared" si="39"/>
        <v>453.24719999999996</v>
      </c>
      <c r="AO142" s="1">
        <f t="shared" si="40"/>
        <v>32.929679999999998</v>
      </c>
      <c r="AP142" s="1">
        <f t="shared" si="41"/>
        <v>39.598439999999997</v>
      </c>
      <c r="AQ142" s="1">
        <f t="shared" si="42"/>
        <v>1.860684</v>
      </c>
      <c r="AR142" s="1">
        <f t="shared" si="43"/>
        <v>919.60343999999998</v>
      </c>
      <c r="AS142" s="1">
        <f t="shared" si="38"/>
        <v>0</v>
      </c>
      <c r="AU142" s="13"/>
      <c r="AV142" s="13"/>
    </row>
    <row r="143" spans="1:50" x14ac:dyDescent="0.3">
      <c r="A143" s="5">
        <v>45169</v>
      </c>
      <c r="B143" s="12" t="s">
        <v>298</v>
      </c>
      <c r="C143" t="s">
        <v>71</v>
      </c>
      <c r="E143" t="s">
        <v>72</v>
      </c>
      <c r="F143" s="11">
        <v>40.665210000000002</v>
      </c>
      <c r="G143" s="11">
        <v>-78.972009999999997</v>
      </c>
      <c r="H143" t="s">
        <v>299</v>
      </c>
      <c r="J143" s="1">
        <v>538.6</v>
      </c>
      <c r="K143" t="s">
        <v>96</v>
      </c>
      <c r="L143" s="2">
        <v>2.96</v>
      </c>
      <c r="M143" s="2">
        <v>2.9</v>
      </c>
      <c r="N143" s="1">
        <v>1177</v>
      </c>
      <c r="O143" s="1">
        <v>1212</v>
      </c>
      <c r="Q143" s="4">
        <v>0</v>
      </c>
      <c r="R143" s="4">
        <v>0</v>
      </c>
      <c r="S143" s="4">
        <v>301.39999999999998</v>
      </c>
      <c r="T143" s="4" cm="1">
        <f t="array" ref="T143">_xlfn.IFS(L143&lt;=5,IF(ISNUMBER(X143)=TRUE,X143*1.79+AA143*1.8+Z143*5.56+50000*(10^-L143)-Q143,1.79+AA143*1.8+Z143*5.56+50000*(10^-L143)-Q143),L143&gt;5,IF(ISNUMBER(X143)=TRUE,X143*1.79+AA143*1.8+50000*(10^-L143)-Q143,AA143*1.8+50000*(10^-L143)-Q143))</f>
        <v>229.27318980715924</v>
      </c>
      <c r="W143" s="23">
        <v>28.1</v>
      </c>
      <c r="X143" s="23">
        <v>11.032</v>
      </c>
      <c r="Y143" s="23"/>
      <c r="Z143" s="3">
        <v>27.4</v>
      </c>
      <c r="AA143" s="3">
        <v>1.31</v>
      </c>
      <c r="AB143" s="4">
        <v>640.22</v>
      </c>
      <c r="AC143" s="3">
        <v>82</v>
      </c>
      <c r="AD143" s="6">
        <v>26.2</v>
      </c>
      <c r="AE143" s="6">
        <v>13.2</v>
      </c>
      <c r="AF143" s="6">
        <v>2.4</v>
      </c>
      <c r="AG143" s="8">
        <v>4</v>
      </c>
      <c r="AH143" s="2">
        <v>0.19500000000000001</v>
      </c>
      <c r="AI143" s="2">
        <v>0.36899999999999999</v>
      </c>
      <c r="AJ143" s="3">
        <v>0.2</v>
      </c>
      <c r="AN143" s="1">
        <f t="shared" si="39"/>
        <v>1948.0084800000002</v>
      </c>
      <c r="AO143" s="1">
        <f t="shared" si="40"/>
        <v>181.61592000000002</v>
      </c>
      <c r="AP143" s="1">
        <f t="shared" si="41"/>
        <v>177.09168</v>
      </c>
      <c r="AQ143" s="1">
        <f t="shared" si="42"/>
        <v>8.4667919999999999</v>
      </c>
      <c r="AR143" s="1">
        <f t="shared" si="43"/>
        <v>4137.8699040000001</v>
      </c>
      <c r="AS143" s="1">
        <f t="shared" si="38"/>
        <v>0</v>
      </c>
      <c r="AU143" s="13"/>
      <c r="AV143" s="13"/>
    </row>
    <row r="144" spans="1:50" x14ac:dyDescent="0.3">
      <c r="A144" s="45" t="s">
        <v>144</v>
      </c>
      <c r="C144" s="12"/>
      <c r="F144" s="11"/>
      <c r="G144" s="11"/>
      <c r="J144" s="19">
        <f t="shared" ref="J144:T144" si="44">AVERAGE(J138:J143)</f>
        <v>256.09999999999997</v>
      </c>
      <c r="L144" s="15">
        <f t="shared" si="44"/>
        <v>2.6949999999999998</v>
      </c>
      <c r="M144" s="15">
        <f t="shared" si="44"/>
        <v>2.9</v>
      </c>
      <c r="N144" s="20">
        <f t="shared" si="44"/>
        <v>1249.5</v>
      </c>
      <c r="O144" s="20">
        <f t="shared" si="44"/>
        <v>1262.5</v>
      </c>
      <c r="P144" s="32">
        <f t="shared" si="44"/>
        <v>10.95</v>
      </c>
      <c r="Q144" s="19">
        <f t="shared" si="44"/>
        <v>0</v>
      </c>
      <c r="R144" s="19">
        <f t="shared" si="44"/>
        <v>0</v>
      </c>
      <c r="S144" s="19">
        <f t="shared" si="44"/>
        <v>332.5</v>
      </c>
      <c r="T144" s="19">
        <f t="shared" si="44"/>
        <v>317.78034931066242</v>
      </c>
      <c r="U144" s="15">
        <f>AVERAGE(U138:U142)</f>
        <v>1.3</v>
      </c>
      <c r="V144" s="15">
        <f>AVERAGE(V138:V142)</f>
        <v>2</v>
      </c>
      <c r="W144" s="32">
        <f>AVERAGE(W138:W143)</f>
        <v>31.541666666666668</v>
      </c>
      <c r="X144" s="32">
        <f t="shared" ref="X144:AA144" si="45">AVERAGE(X138:X143)</f>
        <v>17.82033333333333</v>
      </c>
      <c r="Y144" s="32"/>
      <c r="Z144" s="32">
        <f t="shared" si="45"/>
        <v>28.646666666666665</v>
      </c>
      <c r="AA144" s="32">
        <f t="shared" si="45"/>
        <v>1.4058333333333335</v>
      </c>
      <c r="AB144" s="19">
        <f>AVERAGE(AB138:AB143)</f>
        <v>674.45</v>
      </c>
      <c r="AC144" s="32">
        <f>AVERAGE(AC138:AC143)</f>
        <v>84.893333333333331</v>
      </c>
      <c r="AD144" s="32">
        <f t="shared" ref="AD144:AG144" si="46">AVERAGE(AD138:AD143)</f>
        <v>27.388333333333332</v>
      </c>
      <c r="AE144" s="32">
        <f t="shared" si="46"/>
        <v>13.133333333333333</v>
      </c>
      <c r="AF144" s="32">
        <f t="shared" si="46"/>
        <v>2.4033333333333338</v>
      </c>
      <c r="AG144" s="32">
        <f t="shared" si="46"/>
        <v>4.1000000000000005</v>
      </c>
      <c r="AH144" s="15">
        <f>AVERAGE(AH138:AH142)</f>
        <v>0.21460000000000004</v>
      </c>
      <c r="AI144" s="15">
        <f>AVERAGE(AI138:AI142)</f>
        <v>0.40759999999999996</v>
      </c>
      <c r="AJ144" s="32">
        <f>AVERAGE(AJ138:AJ142)</f>
        <v>0.2</v>
      </c>
      <c r="AK144" s="32"/>
      <c r="AL144" s="32"/>
      <c r="AM144" s="32"/>
      <c r="AN144" s="32">
        <f t="shared" ref="AN144:AS144" si="47">AVERAGE(AN138:AN142)</f>
        <v>798.11807999999985</v>
      </c>
      <c r="AO144" s="32">
        <f t="shared" si="47"/>
        <v>74.753808000000006</v>
      </c>
      <c r="AP144" s="32">
        <f t="shared" si="47"/>
        <v>68.001288000000002</v>
      </c>
      <c r="AQ144" s="32">
        <f t="shared" si="47"/>
        <v>3.388836</v>
      </c>
      <c r="AR144" s="32">
        <f t="shared" si="47"/>
        <v>1436.3613</v>
      </c>
      <c r="AS144" s="32">
        <f t="shared" si="47"/>
        <v>0</v>
      </c>
      <c r="AT144" s="32"/>
      <c r="AU144" s="32"/>
      <c r="AV144" s="32"/>
      <c r="AW144" s="32"/>
      <c r="AX144" s="32"/>
    </row>
    <row r="145" spans="1:48" x14ac:dyDescent="0.3">
      <c r="F145" s="11"/>
      <c r="G145" s="11"/>
      <c r="AD145" s="8"/>
      <c r="AE145" s="8"/>
      <c r="AU145" s="13"/>
      <c r="AV145" s="13"/>
    </row>
    <row r="146" spans="1:48" x14ac:dyDescent="0.3">
      <c r="A146" s="5">
        <v>35998</v>
      </c>
      <c r="C146" t="s">
        <v>186</v>
      </c>
      <c r="E146" t="s">
        <v>42</v>
      </c>
      <c r="F146" s="11"/>
      <c r="G146" s="11"/>
      <c r="H146" t="s">
        <v>175</v>
      </c>
      <c r="J146" s="1">
        <v>14161</v>
      </c>
      <c r="M146" s="2">
        <v>7.2</v>
      </c>
      <c r="Q146" s="4">
        <v>126</v>
      </c>
      <c r="W146" s="3">
        <v>4.38</v>
      </c>
      <c r="X146" s="3">
        <v>0.25</v>
      </c>
      <c r="Z146" s="3">
        <v>3.47</v>
      </c>
      <c r="AA146" s="3">
        <v>0.24</v>
      </c>
      <c r="AB146" s="4">
        <v>100</v>
      </c>
      <c r="AD146" s="8"/>
      <c r="AE146" s="8"/>
    </row>
    <row r="147" spans="1:48" x14ac:dyDescent="0.3">
      <c r="A147" s="5">
        <v>37406</v>
      </c>
      <c r="C147" t="s">
        <v>186</v>
      </c>
      <c r="E147" t="s">
        <v>42</v>
      </c>
      <c r="H147" t="s">
        <v>177</v>
      </c>
      <c r="M147" s="2">
        <v>3.25</v>
      </c>
      <c r="Q147" s="4">
        <v>0</v>
      </c>
      <c r="W147" s="3">
        <v>21.35</v>
      </c>
      <c r="Z147" s="3">
        <v>11.26</v>
      </c>
      <c r="AA147" s="3">
        <v>0.66</v>
      </c>
      <c r="AB147" s="4">
        <v>284.60000000000002</v>
      </c>
    </row>
    <row r="148" spans="1:48" x14ac:dyDescent="0.3">
      <c r="A148" s="5">
        <v>37435</v>
      </c>
      <c r="C148" t="s">
        <v>186</v>
      </c>
      <c r="E148" t="s">
        <v>42</v>
      </c>
      <c r="F148" s="11"/>
      <c r="G148" s="11"/>
      <c r="H148" t="s">
        <v>177</v>
      </c>
      <c r="M148" s="2">
        <v>4.53</v>
      </c>
      <c r="Q148" s="4">
        <v>1</v>
      </c>
      <c r="W148" s="3">
        <v>14.56</v>
      </c>
      <c r="Z148" s="3">
        <v>9.56</v>
      </c>
      <c r="AA148" s="3">
        <v>0.64</v>
      </c>
      <c r="AB148" s="4">
        <v>271.60000000000002</v>
      </c>
      <c r="AD148" s="8"/>
      <c r="AE148" s="8"/>
      <c r="AU148" s="13"/>
      <c r="AV148" s="13"/>
    </row>
    <row r="149" spans="1:48" x14ac:dyDescent="0.3">
      <c r="A149" s="5">
        <v>37463</v>
      </c>
      <c r="C149" t="s">
        <v>186</v>
      </c>
      <c r="E149" t="s">
        <v>42</v>
      </c>
      <c r="F149" s="11"/>
      <c r="G149" s="11"/>
      <c r="H149" t="s">
        <v>177</v>
      </c>
      <c r="M149" s="2">
        <v>8.02</v>
      </c>
      <c r="Q149" s="4">
        <v>210.7</v>
      </c>
      <c r="W149" s="3">
        <v>0.8</v>
      </c>
      <c r="Z149" s="3">
        <v>1.94</v>
      </c>
      <c r="AA149" s="3">
        <v>0.08</v>
      </c>
      <c r="AB149" s="4">
        <v>123.6</v>
      </c>
      <c r="AD149" s="8"/>
      <c r="AE149" s="8"/>
    </row>
    <row r="150" spans="1:48" x14ac:dyDescent="0.3">
      <c r="A150" s="5">
        <v>37508</v>
      </c>
      <c r="C150" t="s">
        <v>186</v>
      </c>
      <c r="E150" t="s">
        <v>42</v>
      </c>
      <c r="H150" t="s">
        <v>177</v>
      </c>
      <c r="M150" s="2">
        <v>8.25</v>
      </c>
      <c r="Q150" s="4">
        <v>266</v>
      </c>
      <c r="W150" s="3">
        <v>0.33</v>
      </c>
      <c r="Z150" s="3">
        <v>1.85</v>
      </c>
      <c r="AA150" s="3">
        <v>0.06</v>
      </c>
      <c r="AB150" s="4">
        <v>125.9</v>
      </c>
    </row>
    <row r="151" spans="1:48" x14ac:dyDescent="0.3">
      <c r="A151" s="5">
        <v>37529</v>
      </c>
      <c r="C151" t="s">
        <v>186</v>
      </c>
      <c r="E151" t="s">
        <v>42</v>
      </c>
      <c r="F151" s="11"/>
      <c r="G151" s="11"/>
      <c r="H151" t="s">
        <v>177</v>
      </c>
      <c r="M151" s="2">
        <v>8.23</v>
      </c>
      <c r="Q151" s="4">
        <v>179.7</v>
      </c>
      <c r="W151" s="3">
        <v>0.56999999999999995</v>
      </c>
      <c r="Z151" s="3" t="s">
        <v>185</v>
      </c>
      <c r="AA151" s="3">
        <v>0.12</v>
      </c>
      <c r="AB151" s="4">
        <v>125.3</v>
      </c>
      <c r="AD151" s="8"/>
      <c r="AE151" s="8"/>
      <c r="AU151" s="13"/>
      <c r="AV151" s="13"/>
    </row>
    <row r="152" spans="1:48" x14ac:dyDescent="0.3">
      <c r="A152" s="5">
        <v>37559</v>
      </c>
      <c r="C152" t="s">
        <v>186</v>
      </c>
      <c r="E152" t="s">
        <v>42</v>
      </c>
      <c r="F152" s="11"/>
      <c r="G152" s="11"/>
      <c r="H152" t="s">
        <v>177</v>
      </c>
      <c r="M152" s="2">
        <v>7.37</v>
      </c>
      <c r="Q152" s="4">
        <v>101.2</v>
      </c>
      <c r="W152" s="3">
        <v>0.54</v>
      </c>
      <c r="Z152" s="3" t="s">
        <v>185</v>
      </c>
      <c r="AA152" s="3">
        <v>0.12</v>
      </c>
      <c r="AB152" s="4">
        <v>71.599999999999994</v>
      </c>
      <c r="AD152" s="8"/>
      <c r="AE152" s="8"/>
    </row>
    <row r="153" spans="1:48" x14ac:dyDescent="0.3">
      <c r="A153" s="5">
        <v>37586</v>
      </c>
      <c r="C153" t="s">
        <v>186</v>
      </c>
      <c r="E153" t="s">
        <v>42</v>
      </c>
      <c r="H153" t="s">
        <v>177</v>
      </c>
      <c r="M153" s="2">
        <v>7.26</v>
      </c>
      <c r="Q153" s="4">
        <v>82.1</v>
      </c>
      <c r="W153" s="3">
        <v>0.43</v>
      </c>
      <c r="Z153" s="3" t="s">
        <v>185</v>
      </c>
      <c r="AA153" s="3">
        <v>0.13</v>
      </c>
      <c r="AB153" s="4">
        <v>60.6</v>
      </c>
    </row>
    <row r="154" spans="1:48" x14ac:dyDescent="0.3">
      <c r="A154" s="5">
        <v>37613</v>
      </c>
      <c r="C154" t="s">
        <v>186</v>
      </c>
      <c r="E154" t="s">
        <v>42</v>
      </c>
      <c r="F154" s="11"/>
      <c r="G154" s="11"/>
      <c r="H154" t="s">
        <v>177</v>
      </c>
      <c r="M154" s="2">
        <v>6.96</v>
      </c>
      <c r="Q154" s="4">
        <v>25.7</v>
      </c>
      <c r="W154" s="3">
        <v>0.56000000000000005</v>
      </c>
      <c r="Z154" s="3">
        <v>0.24</v>
      </c>
      <c r="AA154" s="3">
        <v>7.0000000000000007E-2</v>
      </c>
      <c r="AB154" s="4">
        <v>38.799999999999997</v>
      </c>
      <c r="AD154" s="8"/>
      <c r="AE154" s="8"/>
      <c r="AU154" s="13"/>
      <c r="AV154" s="13"/>
    </row>
    <row r="155" spans="1:48" x14ac:dyDescent="0.3">
      <c r="A155" s="5">
        <v>37651</v>
      </c>
      <c r="C155" t="s">
        <v>186</v>
      </c>
      <c r="E155" t="s">
        <v>42</v>
      </c>
      <c r="F155" s="11"/>
      <c r="G155" s="11"/>
      <c r="H155" t="s">
        <v>177</v>
      </c>
      <c r="M155" s="2">
        <v>7.33</v>
      </c>
      <c r="Q155" s="4">
        <v>132</v>
      </c>
      <c r="W155" s="3">
        <v>3.39</v>
      </c>
      <c r="Z155" s="3">
        <v>1.76</v>
      </c>
      <c r="AA155" s="3">
        <v>0.23</v>
      </c>
      <c r="AB155" s="4">
        <v>108.4</v>
      </c>
      <c r="AD155" s="8"/>
      <c r="AE155" s="8"/>
    </row>
    <row r="156" spans="1:48" x14ac:dyDescent="0.3">
      <c r="A156" s="5">
        <v>37684</v>
      </c>
      <c r="C156" t="s">
        <v>186</v>
      </c>
      <c r="E156" t="s">
        <v>42</v>
      </c>
      <c r="H156" t="s">
        <v>177</v>
      </c>
      <c r="M156" s="2">
        <v>7.48</v>
      </c>
      <c r="Q156" s="4">
        <v>60.4</v>
      </c>
      <c r="W156" s="3">
        <v>0.46</v>
      </c>
      <c r="Z156" s="3">
        <v>0.22</v>
      </c>
      <c r="AA156" s="3">
        <v>0.12</v>
      </c>
      <c r="AB156" s="4">
        <v>50.9</v>
      </c>
    </row>
    <row r="157" spans="1:48" x14ac:dyDescent="0.3">
      <c r="A157" s="5">
        <v>37710</v>
      </c>
      <c r="C157" t="s">
        <v>186</v>
      </c>
      <c r="E157" t="s">
        <v>42</v>
      </c>
      <c r="F157" s="11"/>
      <c r="G157" s="11"/>
      <c r="H157" t="s">
        <v>177</v>
      </c>
      <c r="M157" s="2">
        <v>7.32</v>
      </c>
      <c r="Q157" s="4">
        <v>71.5</v>
      </c>
      <c r="W157" s="3">
        <v>0.33</v>
      </c>
      <c r="Z157" s="3">
        <v>0.43</v>
      </c>
      <c r="AA157" s="3">
        <v>0.11</v>
      </c>
      <c r="AB157" s="4">
        <v>73.7</v>
      </c>
      <c r="AD157" s="8"/>
      <c r="AE157" s="8"/>
      <c r="AU157" s="13"/>
      <c r="AV157" s="13"/>
    </row>
    <row r="158" spans="1:48" x14ac:dyDescent="0.3">
      <c r="A158" s="5">
        <v>37741</v>
      </c>
      <c r="C158" t="s">
        <v>186</v>
      </c>
      <c r="E158" t="s">
        <v>42</v>
      </c>
      <c r="F158" s="11"/>
      <c r="G158" s="11"/>
      <c r="H158" t="s">
        <v>177</v>
      </c>
      <c r="M158" s="2">
        <v>7.94</v>
      </c>
      <c r="Q158" s="4">
        <v>129.9</v>
      </c>
      <c r="W158" s="3">
        <v>0.27</v>
      </c>
      <c r="Z158" s="3">
        <v>0.26</v>
      </c>
      <c r="AA158" s="3">
        <v>0.13</v>
      </c>
      <c r="AB158" s="4">
        <v>95.8</v>
      </c>
      <c r="AD158" s="8"/>
      <c r="AE158" s="8"/>
    </row>
    <row r="159" spans="1:48" x14ac:dyDescent="0.3">
      <c r="A159" s="5">
        <v>44845</v>
      </c>
      <c r="B159" s="12" t="s">
        <v>40</v>
      </c>
      <c r="C159" t="s">
        <v>41</v>
      </c>
      <c r="E159" t="s">
        <v>42</v>
      </c>
      <c r="F159" s="11">
        <v>40.657780000000002</v>
      </c>
      <c r="G159" s="11">
        <v>-78.975070000000002</v>
      </c>
      <c r="H159" t="s">
        <v>93</v>
      </c>
      <c r="I159" s="2">
        <v>5.95</v>
      </c>
      <c r="J159" s="1">
        <f>13.12*449</f>
        <v>5890.8799999999992</v>
      </c>
      <c r="K159" t="s">
        <v>96</v>
      </c>
      <c r="L159" s="2">
        <v>7.74</v>
      </c>
      <c r="M159" s="2">
        <v>7.7</v>
      </c>
      <c r="N159" s="1">
        <v>378</v>
      </c>
      <c r="O159" s="1">
        <v>382</v>
      </c>
      <c r="P159" s="3">
        <v>8.1</v>
      </c>
      <c r="Q159" s="4">
        <f>AVERAGE(104, 106)</f>
        <v>105</v>
      </c>
      <c r="R159" s="4">
        <v>106</v>
      </c>
      <c r="S159" s="4">
        <v>-83.8</v>
      </c>
      <c r="T159" s="4" cm="1">
        <f t="array" ref="T159">_xlfn.IFS(L159&lt;=5,IF(ISNUMBER(X159)=TRUE,X159*1.79+AA159*1.8+Z159*5.56+50000*(10^-L159)-Q159,1.79+AA159*1.8+Z159*5.56+50000*(10^-L159)-Q159),L159&gt;5,IF(ISNUMBER(X159)=TRUE,X159*1.79+AA159*1.8+50000*(10^-L159)-Q159,AA159*1.8+50000*(10^-L159)-Q159))</f>
        <v>-104.5094501495707</v>
      </c>
      <c r="U159" s="2">
        <v>11.51</v>
      </c>
      <c r="V159" s="2">
        <v>96.7</v>
      </c>
      <c r="W159" s="3">
        <v>0.71799999999999997</v>
      </c>
      <c r="X159" s="3">
        <v>0.17599999999999999</v>
      </c>
      <c r="Z159" s="3">
        <v>0.40600000000000003</v>
      </c>
      <c r="AA159" s="3">
        <v>9.7000000000000003E-2</v>
      </c>
      <c r="AB159" s="4">
        <v>70.95</v>
      </c>
      <c r="AC159" s="3">
        <v>30.9</v>
      </c>
      <c r="AD159" s="8">
        <v>8.8800000000000008</v>
      </c>
      <c r="AE159" s="8">
        <v>32.76</v>
      </c>
      <c r="AF159" s="3">
        <v>1.71</v>
      </c>
      <c r="AG159" s="3">
        <v>9.9</v>
      </c>
      <c r="AH159" s="2" t="s">
        <v>161</v>
      </c>
      <c r="AI159" s="2" t="s">
        <v>162</v>
      </c>
      <c r="AJ159" s="3" t="s">
        <v>159</v>
      </c>
      <c r="AN159" s="1">
        <f>S159*J159*0.012</f>
        <v>-5923.868927999999</v>
      </c>
      <c r="AO159" s="1">
        <f>W159*J159*0.012</f>
        <v>50.755822079999994</v>
      </c>
      <c r="AP159" s="1">
        <f>Z159*J159*0.012</f>
        <v>28.700367359999998</v>
      </c>
      <c r="AQ159" s="1">
        <f>AA159*J159*0.012</f>
        <v>6.8569843199999996</v>
      </c>
      <c r="AR159" s="1">
        <f>AB159*J159*0.012</f>
        <v>5015.4952320000002</v>
      </c>
      <c r="AS159" s="1">
        <f t="shared" si="38"/>
        <v>7493.1993599999987</v>
      </c>
      <c r="AT159" t="s">
        <v>98</v>
      </c>
      <c r="AU159" s="13" t="str">
        <f>CONCATENATE(TEXT(ROUNDDOWN(ABS(F159),0),"00"),"° ",TEXT(ROUNDDOWN(ABS((F159-ROUNDDOWN(F159,0))*60),0),"00"),"' ",TEXT(TRUNC((ABS((F159-ROUNDDOWN(F159,0))*60)-ROUNDDOWN(ABS((F159-ROUNDDOWN(F159,0))*60),0))*60,2),"00.00"),"""",IF(F159&lt;0," S"," N"))</f>
        <v>40° 39' 28.00" N</v>
      </c>
      <c r="AV159" s="13" t="str">
        <f>CONCATENATE(TEXT(ROUNDDOWN(ABS(G159),0),"000"),"° ",TEXT(ROUNDDOWN(ABS((G159-ROUNDDOWN(G159,0))*60),0),"00"),"' ",TEXT(TRUNC((ABS((G159-ROUNDDOWN(G159,0))*60)-ROUNDDOWN(ABS((G159-ROUNDDOWN(G159,0))*60),0))*60,2),"00.00"),"""",IF(G159&lt;0," W"," E"))</f>
        <v>078° 58' 30.25" W</v>
      </c>
    </row>
    <row r="160" spans="1:48" x14ac:dyDescent="0.3">
      <c r="A160" s="5">
        <v>44903</v>
      </c>
      <c r="B160" s="12" t="s">
        <v>40</v>
      </c>
      <c r="C160" t="s">
        <v>41</v>
      </c>
      <c r="E160" t="s">
        <v>42</v>
      </c>
      <c r="F160" s="11">
        <v>40.657780000000002</v>
      </c>
      <c r="G160" s="11">
        <v>-78.975070000000002</v>
      </c>
      <c r="H160" t="s">
        <v>93</v>
      </c>
      <c r="I160" s="2">
        <v>5.95</v>
      </c>
      <c r="J160" s="1">
        <v>20371</v>
      </c>
      <c r="K160" t="s">
        <v>96</v>
      </c>
      <c r="L160" s="2">
        <v>7.21</v>
      </c>
      <c r="M160" s="2">
        <v>7.3</v>
      </c>
      <c r="N160" s="1">
        <v>222.8</v>
      </c>
      <c r="O160" s="1">
        <v>229</v>
      </c>
      <c r="P160" s="3">
        <v>7.8</v>
      </c>
      <c r="Q160" s="4">
        <v>56</v>
      </c>
      <c r="R160" s="4">
        <v>55</v>
      </c>
      <c r="S160" s="4">
        <v>-44.2</v>
      </c>
      <c r="T160" s="4" cm="1">
        <f t="array" ref="T160">_xlfn.IFS(L160&lt;=5,IF(ISNUMBER(X160)=TRUE,X160*1.79+AA160*1.8+Z160*5.56+50000*(10^-L160)-Q160,1.79+AA160*1.8+Z160*5.56+50000*(10^-L160)-Q160),L160&gt;5,IF(ISNUMBER(X160)=TRUE,X160*1.79+AA160*1.8+50000*(10^-L160)-Q160,AA160*1.8+50000*(10^-L160)-Q160))</f>
        <v>-55.657887024990693</v>
      </c>
      <c r="U160" s="2">
        <v>11.23</v>
      </c>
      <c r="V160" s="2">
        <v>94.2</v>
      </c>
      <c r="W160" s="3">
        <v>0.44700000000000001</v>
      </c>
      <c r="X160" s="3">
        <v>0.11700000000000001</v>
      </c>
      <c r="Z160" s="52">
        <v>0.3</v>
      </c>
      <c r="AA160" s="3">
        <v>7.1999999999999995E-2</v>
      </c>
      <c r="AC160" s="3">
        <v>20.6</v>
      </c>
      <c r="AD160" s="8">
        <v>6</v>
      </c>
      <c r="AE160" s="8">
        <v>14.4</v>
      </c>
      <c r="AF160" s="3">
        <v>1.53</v>
      </c>
      <c r="AG160" s="3">
        <v>8.6</v>
      </c>
      <c r="AH160" s="2" t="s">
        <v>161</v>
      </c>
      <c r="AI160" s="2" t="s">
        <v>162</v>
      </c>
      <c r="AJ160" s="3" t="s">
        <v>159</v>
      </c>
      <c r="AN160" s="1">
        <f>S160*J160*0.012</f>
        <v>-10804.778400000001</v>
      </c>
      <c r="AO160" s="1">
        <f>W160*J160*0.012</f>
        <v>109.270044</v>
      </c>
      <c r="AP160" s="1">
        <f>Z160*J160*0.012</f>
        <v>73.335599999999999</v>
      </c>
      <c r="AQ160" s="1">
        <f>AA160*J160*0.012</f>
        <v>17.600543999999999</v>
      </c>
      <c r="AR160" s="1">
        <f>AB160*J160*0.012</f>
        <v>0</v>
      </c>
      <c r="AS160" s="1">
        <f t="shared" si="38"/>
        <v>13444.86</v>
      </c>
      <c r="AU160" s="13"/>
      <c r="AV160" s="13"/>
    </row>
    <row r="161" spans="1:50" x14ac:dyDescent="0.3">
      <c r="A161" s="5">
        <v>44964</v>
      </c>
      <c r="B161" s="12" t="s">
        <v>40</v>
      </c>
      <c r="C161" t="s">
        <v>41</v>
      </c>
      <c r="E161" t="s">
        <v>42</v>
      </c>
      <c r="F161" s="11">
        <v>40.657780000000002</v>
      </c>
      <c r="G161" s="11">
        <v>-78.975070000000002</v>
      </c>
      <c r="H161" t="s">
        <v>241</v>
      </c>
      <c r="J161" s="1" t="s">
        <v>219</v>
      </c>
      <c r="L161" s="2">
        <v>7.43</v>
      </c>
      <c r="M161" s="2">
        <v>6.8</v>
      </c>
      <c r="N161" s="1">
        <v>300</v>
      </c>
      <c r="O161" s="1">
        <v>258</v>
      </c>
      <c r="Q161" s="4">
        <v>81</v>
      </c>
      <c r="R161" s="4">
        <v>53.2</v>
      </c>
      <c r="S161" s="4">
        <v>-43.4</v>
      </c>
      <c r="T161" s="4" cm="1">
        <f t="array" ref="T161">_xlfn.IFS(L161&lt;=5,IF(ISNUMBER(X161)=TRUE,X161*1.79+AA161*1.8+Z161*5.56+50000*(10^-L161)-R161,1.79+AA161*1.8+Z161*5.56+50000*(10^-L161)-R161),L161&gt;5,IF(ISNUMBER(X161)=TRUE,X161*1.79+AA161*1.8+50000*(10^-L161)-R161,AA161*1.8+50000*(10^-L161)-R161))</f>
        <v>-52.926842323854515</v>
      </c>
      <c r="W161" s="3">
        <v>0.498</v>
      </c>
      <c r="X161" s="3">
        <v>0.05</v>
      </c>
      <c r="Z161" s="3">
        <v>0.45600000000000002</v>
      </c>
      <c r="AA161" s="3">
        <v>0.10100000000000001</v>
      </c>
      <c r="AB161" s="4">
        <v>53.75</v>
      </c>
      <c r="AC161" s="3">
        <v>21.78</v>
      </c>
      <c r="AD161" s="8">
        <v>6.77</v>
      </c>
      <c r="AE161" s="8">
        <v>16.920000000000002</v>
      </c>
      <c r="AF161" s="3">
        <v>1.37</v>
      </c>
      <c r="AG161" s="3">
        <v>9</v>
      </c>
      <c r="AH161" s="2" t="s">
        <v>161</v>
      </c>
      <c r="AI161" s="2" t="s">
        <v>162</v>
      </c>
      <c r="AJ161" s="3" t="s">
        <v>159</v>
      </c>
      <c r="AU161" s="13"/>
      <c r="AV161" s="13"/>
    </row>
    <row r="162" spans="1:50" x14ac:dyDescent="0.3">
      <c r="A162" s="5">
        <v>45022</v>
      </c>
      <c r="B162" s="12" t="s">
        <v>79</v>
      </c>
      <c r="C162" t="s">
        <v>41</v>
      </c>
      <c r="E162" t="s">
        <v>42</v>
      </c>
      <c r="F162" s="11">
        <v>40.657780000000002</v>
      </c>
      <c r="G162" s="11">
        <v>-78.975070000000002</v>
      </c>
      <c r="H162" t="s">
        <v>241</v>
      </c>
      <c r="J162" s="1" t="s">
        <v>219</v>
      </c>
      <c r="L162" s="2">
        <v>7.65</v>
      </c>
      <c r="M162" s="2">
        <v>6.8</v>
      </c>
      <c r="N162" s="1">
        <v>237</v>
      </c>
      <c r="O162" s="1">
        <v>203</v>
      </c>
      <c r="Q162" s="4">
        <v>41</v>
      </c>
      <c r="R162" s="4">
        <v>44.8</v>
      </c>
      <c r="S162" s="4">
        <v>-32</v>
      </c>
      <c r="T162" s="4" cm="1">
        <f t="array" ref="T162">_xlfn.IFS(L162&lt;=5,IF(ISNUMBER(X162)=TRUE,X162*1.79+AA162*1.8+Z162*5.56+50000*(10^-L162)-R162,1.79+AA162*1.8+Z162*5.56+50000*(10^-L162)-R162),L162&gt;5,IF(ISNUMBER(X162)=TRUE,X162*1.79+AA162*1.8+50000*(10^-L162)-R162,AA162*1.8+50000*(10^-L162)-R162))</f>
        <v>-44.563790639430714</v>
      </c>
      <c r="W162" s="3">
        <v>0.35599999999999998</v>
      </c>
      <c r="X162" s="3">
        <v>7.0999999999999994E-2</v>
      </c>
      <c r="Z162" s="3">
        <v>0.33200000000000002</v>
      </c>
      <c r="AA162" s="3">
        <v>0.06</v>
      </c>
      <c r="AB162" s="4">
        <v>39.82</v>
      </c>
      <c r="AC162" s="3">
        <v>16.43</v>
      </c>
      <c r="AD162" s="8">
        <v>5.36</v>
      </c>
      <c r="AE162" s="8">
        <v>11.87</v>
      </c>
      <c r="AF162" s="3">
        <v>1.38</v>
      </c>
      <c r="AG162" s="3">
        <v>8</v>
      </c>
      <c r="AH162" s="2" t="s">
        <v>161</v>
      </c>
      <c r="AI162" s="2" t="s">
        <v>162</v>
      </c>
      <c r="AJ162" s="3" t="s">
        <v>159</v>
      </c>
      <c r="AU162" s="13"/>
      <c r="AV162" s="13"/>
    </row>
    <row r="163" spans="1:50" x14ac:dyDescent="0.3">
      <c r="A163" s="5">
        <v>45098</v>
      </c>
      <c r="B163" s="12" t="s">
        <v>270</v>
      </c>
      <c r="C163" t="s">
        <v>41</v>
      </c>
      <c r="E163" t="s">
        <v>42</v>
      </c>
      <c r="F163" s="11">
        <v>40.657780000000002</v>
      </c>
      <c r="G163" s="11">
        <v>-78.975070000000002</v>
      </c>
      <c r="H163" t="s">
        <v>241</v>
      </c>
      <c r="J163" s="1" t="s">
        <v>219</v>
      </c>
      <c r="L163" s="2">
        <v>7.91</v>
      </c>
      <c r="M163" s="2">
        <v>7.7</v>
      </c>
      <c r="N163" s="1">
        <v>476</v>
      </c>
      <c r="O163" s="1">
        <v>458</v>
      </c>
      <c r="P163" s="3">
        <v>18.100000000000001</v>
      </c>
      <c r="Q163" s="4">
        <v>113</v>
      </c>
      <c r="R163" s="4">
        <v>134.19999999999999</v>
      </c>
      <c r="S163" s="4">
        <v>-121.4</v>
      </c>
      <c r="T163" s="4" cm="1">
        <f t="array" ref="T163">_xlfn.IFS(L163&lt;=5,IF(ISNUMBER(X163)=TRUE,X163*1.79+AA163*1.8+Z163*5.56+50000*(10^-L163)-R163,1.79+AA163*1.8+Z163*5.56+50000*(10^-L163)-R163),L163&gt;5,IF(ISNUMBER(X163)=TRUE,X163*1.79+AA163*1.8+50000*(10^-L163)-R163,AA163*1.8+50000*(10^-L163)-R163))</f>
        <v>-133.92808486561458</v>
      </c>
      <c r="W163" s="3">
        <v>0.49299999999999999</v>
      </c>
      <c r="X163" s="3">
        <v>0.05</v>
      </c>
      <c r="Z163" s="3">
        <v>0.45900000000000002</v>
      </c>
      <c r="AA163" s="3">
        <v>0.10100000000000001</v>
      </c>
      <c r="AB163" s="4">
        <v>87.14</v>
      </c>
      <c r="AC163" s="3">
        <v>37.33</v>
      </c>
      <c r="AD163" s="8">
        <v>10.26</v>
      </c>
      <c r="AE163" s="8">
        <v>47.7</v>
      </c>
      <c r="AF163" s="3">
        <v>1.94</v>
      </c>
      <c r="AG163" s="3">
        <v>10.8</v>
      </c>
      <c r="AH163" s="2">
        <v>0.05</v>
      </c>
      <c r="AI163" s="2">
        <v>0.03</v>
      </c>
      <c r="AJ163" s="3">
        <v>0.2</v>
      </c>
      <c r="AU163" s="13"/>
      <c r="AV163" s="13"/>
    </row>
    <row r="164" spans="1:50" x14ac:dyDescent="0.3">
      <c r="A164" s="5">
        <v>45169</v>
      </c>
      <c r="B164" s="12" t="s">
        <v>270</v>
      </c>
      <c r="C164" t="s">
        <v>41</v>
      </c>
      <c r="E164" t="s">
        <v>42</v>
      </c>
      <c r="F164" s="11">
        <v>40.657780000000002</v>
      </c>
      <c r="G164" s="11">
        <v>-78.975070000000002</v>
      </c>
      <c r="H164" t="s">
        <v>241</v>
      </c>
      <c r="J164" s="1" t="s">
        <v>219</v>
      </c>
      <c r="L164" s="2">
        <v>7.64</v>
      </c>
      <c r="M164" s="2">
        <v>6.8</v>
      </c>
      <c r="N164" s="1">
        <v>281</v>
      </c>
      <c r="O164" s="1">
        <v>289</v>
      </c>
      <c r="P164" s="3">
        <v>15.7</v>
      </c>
      <c r="Q164" s="4">
        <f>71.5</f>
        <v>71.5</v>
      </c>
      <c r="R164" s="4">
        <v>70.400000000000006</v>
      </c>
      <c r="S164" s="4">
        <v>-63.4</v>
      </c>
      <c r="T164" s="4" cm="1">
        <f t="array" ref="T164">_xlfn.IFS(L164&lt;=5,IF(ISNUMBER(X164)=TRUE,X164*1.79+AA164*1.8+Z164*5.56+50000*(10^-L164)-R164,1.79+AA164*1.8+Z164*5.56+50000*(10^-L164)-R164),L164&gt;5,IF(ISNUMBER(X164)=TRUE,X164*1.79+AA164*1.8+50000*(10^-L164)-R164,AA164*1.8+50000*(10^-L164)-R164))</f>
        <v>-70.179754566173628</v>
      </c>
      <c r="W164" s="3">
        <v>0.54200000000000004</v>
      </c>
      <c r="X164" s="3">
        <v>0.05</v>
      </c>
      <c r="Z164" s="3">
        <v>0.439</v>
      </c>
      <c r="AA164" s="3">
        <v>7.1999999999999995E-2</v>
      </c>
      <c r="AB164" s="4">
        <v>58.32</v>
      </c>
      <c r="AC164" s="6">
        <v>26.9</v>
      </c>
      <c r="AD164" s="6">
        <v>7.52</v>
      </c>
      <c r="AE164" s="6">
        <v>18.7</v>
      </c>
      <c r="AF164" s="8">
        <v>1.62</v>
      </c>
      <c r="AG164" s="6">
        <v>8.6999999999999993</v>
      </c>
      <c r="AH164" s="2">
        <v>0.05</v>
      </c>
      <c r="AI164" s="2">
        <v>0.03</v>
      </c>
      <c r="AJ164" s="3">
        <v>0.2</v>
      </c>
      <c r="AU164" s="13"/>
      <c r="AV164" s="13"/>
    </row>
    <row r="165" spans="1:50" x14ac:dyDescent="0.3">
      <c r="A165" s="5">
        <v>45527</v>
      </c>
      <c r="B165" s="12" t="s">
        <v>50</v>
      </c>
      <c r="C165" t="s">
        <v>41</v>
      </c>
      <c r="E165" t="s">
        <v>42</v>
      </c>
      <c r="F165" s="11">
        <v>40.657780000000002</v>
      </c>
      <c r="G165" s="11">
        <v>-78.975070000000002</v>
      </c>
      <c r="H165" t="s">
        <v>218</v>
      </c>
      <c r="J165" s="1">
        <v>7293</v>
      </c>
      <c r="K165" t="s">
        <v>96</v>
      </c>
      <c r="L165" s="2">
        <v>7.03</v>
      </c>
      <c r="M165" s="41">
        <v>7.4</v>
      </c>
      <c r="N165" s="1">
        <v>377</v>
      </c>
      <c r="O165"/>
      <c r="P165" s="6"/>
      <c r="Q165"/>
      <c r="R165" s="40">
        <v>95.4</v>
      </c>
      <c r="S165" s="40">
        <v>-78.8</v>
      </c>
      <c r="T165" s="4" cm="1">
        <f t="array" ref="T165">_xlfn.IFS(L165&lt;=5,IF(ISNUMBER(X165)=TRUE,X165*1.79+AA165*1.8+Z165*5.56+50000*(10^-L165)-R165,1.79+AA165*1.8+Z165*5.56+50000*(10^-L165)-R165),L165&gt;5,IF(ISNUMBER(X165)=TRUE,X165*1.79+AA165*1.8+50000*(10^-L165)-R165,AA165*1.8+50000*(10^-L165)-R165))</f>
        <v>-95.002363728496022</v>
      </c>
      <c r="U165"/>
      <c r="V165"/>
      <c r="W165" s="8">
        <v>0.92400000000000004</v>
      </c>
      <c r="X165" s="3">
        <v>0.123</v>
      </c>
      <c r="Z165" s="3">
        <v>0.5</v>
      </c>
      <c r="AA165" s="8">
        <v>9.6000000000000002E-2</v>
      </c>
      <c r="AB165" s="40">
        <v>93.3</v>
      </c>
      <c r="AC165"/>
      <c r="AD165"/>
      <c r="AE165"/>
      <c r="AF165"/>
      <c r="AG165"/>
      <c r="AH165"/>
      <c r="AI165"/>
      <c r="AJ165"/>
      <c r="AK165" s="6" t="s">
        <v>363</v>
      </c>
      <c r="AL165" s="6">
        <v>210</v>
      </c>
      <c r="AM165"/>
      <c r="AN165" s="1">
        <f>S165*J165*0.012</f>
        <v>-6896.2608</v>
      </c>
      <c r="AO165" s="1">
        <f>W165*J165*0.012</f>
        <v>80.864784</v>
      </c>
      <c r="AP165" s="1">
        <f>Z165*J165*0.012</f>
        <v>43.758000000000003</v>
      </c>
      <c r="AQ165" s="1">
        <f>AA165*J165*0.012</f>
        <v>8.4015360000000001</v>
      </c>
      <c r="AR165" s="1">
        <f>AB165*J165*0.012</f>
        <v>8165.2428000000009</v>
      </c>
      <c r="AS165" s="1">
        <f t="shared" ref="AS165" si="48">0.012*R165*J165</f>
        <v>8349.0264000000006</v>
      </c>
    </row>
    <row r="166" spans="1:50" x14ac:dyDescent="0.3">
      <c r="A166" s="5">
        <v>45595</v>
      </c>
      <c r="B166" s="12" t="s">
        <v>43</v>
      </c>
      <c r="C166" t="s">
        <v>41</v>
      </c>
      <c r="E166" t="s">
        <v>42</v>
      </c>
      <c r="F166" s="11">
        <v>40.657780000000002</v>
      </c>
      <c r="G166" s="11">
        <v>-78.975070000000002</v>
      </c>
      <c r="H166" t="s">
        <v>218</v>
      </c>
      <c r="J166" s="1">
        <f>6.36*449</f>
        <v>2855.6400000000003</v>
      </c>
      <c r="K166" t="s">
        <v>96</v>
      </c>
      <c r="L166" s="2">
        <v>7.56</v>
      </c>
      <c r="M166" s="41">
        <v>7.9</v>
      </c>
      <c r="N166" s="1">
        <v>519</v>
      </c>
      <c r="O166"/>
      <c r="P166" s="6">
        <v>8.6999999999999993</v>
      </c>
      <c r="Q166" s="4">
        <v>160</v>
      </c>
      <c r="R166" s="40">
        <v>168.8</v>
      </c>
      <c r="S166" s="40">
        <v>-147.4</v>
      </c>
      <c r="T166" s="4" cm="1">
        <f t="array" ref="T166">_xlfn.IFS(L166&lt;=5,IF(ISNUMBER(X166)=TRUE,X166*1.79+AA166*1.8+Z166*5.56+50000*(10^-L166)-Q166,1.79+AA166*1.8+Z166*5.56+50000*(10^-L166)-Q166),L166&gt;5,IF(ISNUMBER(X166)=TRUE,X166*1.79+AA166*1.8+50000*(10^-L166)-Q166,AA166*1.8+50000*(10^-L166)-Q166))</f>
        <v>-159.74034288564832</v>
      </c>
      <c r="U166"/>
      <c r="V166"/>
      <c r="W166" s="8">
        <v>0.628</v>
      </c>
      <c r="X166" s="3">
        <v>9.1999999999999998E-2</v>
      </c>
      <c r="Z166" s="3">
        <v>0.5</v>
      </c>
      <c r="AA166" s="8">
        <v>5.1999999999999998E-2</v>
      </c>
      <c r="AB166" s="40">
        <v>147.19999999999999</v>
      </c>
      <c r="AC166"/>
      <c r="AD166"/>
      <c r="AE166"/>
      <c r="AF166"/>
      <c r="AG166"/>
      <c r="AH166"/>
      <c r="AI166"/>
      <c r="AJ166"/>
      <c r="AK166" s="6" t="s">
        <v>363</v>
      </c>
      <c r="AL166" s="6">
        <v>304</v>
      </c>
      <c r="AM166"/>
      <c r="AN166" s="1">
        <f>S166*J166*0.012</f>
        <v>-5051.0560320000013</v>
      </c>
      <c r="AO166" s="1">
        <f>W166*J166*0.012</f>
        <v>21.520103040000006</v>
      </c>
      <c r="AP166" s="1">
        <f>Z166*J166*0.012</f>
        <v>17.133840000000003</v>
      </c>
      <c r="AQ166" s="1">
        <f>AA166*J166*0.012</f>
        <v>1.7819193600000001</v>
      </c>
      <c r="AR166" s="1">
        <f>AB166*J166*0.012</f>
        <v>5044.2024960000008</v>
      </c>
      <c r="AS166" s="1">
        <f t="shared" ref="AS166" si="49">0.012*R166*J166</f>
        <v>5784.3843840000018</v>
      </c>
    </row>
    <row r="167" spans="1:50" s="7" customFormat="1" x14ac:dyDescent="0.3">
      <c r="A167" s="45" t="s">
        <v>144</v>
      </c>
      <c r="B167" s="46"/>
      <c r="F167" s="47"/>
      <c r="G167" s="47"/>
      <c r="I167" s="15"/>
      <c r="J167" s="57">
        <f>AVERAGE(J159:J166)</f>
        <v>9102.6299999999992</v>
      </c>
      <c r="K167" s="57" t="e">
        <f t="shared" ref="K167" si="50">AVERAGE(K159:K166)</f>
        <v>#DIV/0!</v>
      </c>
      <c r="L167" s="110">
        <f>AVERAGE(L159:L166)</f>
        <v>7.5212500000000002</v>
      </c>
      <c r="M167" s="110">
        <f>AVERAGE(M159:M166)</f>
        <v>7.3</v>
      </c>
      <c r="N167" s="110">
        <f t="shared" ref="N167:AS167" si="51">AVERAGE(N159:N166)</f>
        <v>348.85</v>
      </c>
      <c r="O167" s="110">
        <f t="shared" si="51"/>
        <v>303.16666666666669</v>
      </c>
      <c r="P167" s="110">
        <f t="shared" si="51"/>
        <v>11.680000000000001</v>
      </c>
      <c r="Q167" s="110">
        <f t="shared" si="51"/>
        <v>89.642857142857139</v>
      </c>
      <c r="R167" s="110">
        <f t="shared" si="51"/>
        <v>90.974999999999994</v>
      </c>
      <c r="S167" s="110">
        <f t="shared" si="51"/>
        <v>-76.8</v>
      </c>
      <c r="T167" s="110">
        <f t="shared" si="51"/>
        <v>-89.563564522972399</v>
      </c>
      <c r="U167" s="110">
        <f t="shared" si="51"/>
        <v>11.370000000000001</v>
      </c>
      <c r="V167" s="110">
        <f t="shared" si="51"/>
        <v>95.45</v>
      </c>
      <c r="W167" s="109">
        <f>AVERAGE(W159:W166)</f>
        <v>0.57574999999999998</v>
      </c>
      <c r="X167" s="109">
        <f t="shared" si="51"/>
        <v>9.1124999999999998E-2</v>
      </c>
      <c r="Y167" s="109"/>
      <c r="Z167" s="109">
        <f t="shared" si="51"/>
        <v>0.42399999999999999</v>
      </c>
      <c r="AA167" s="109">
        <f t="shared" si="51"/>
        <v>8.1375000000000003E-2</v>
      </c>
      <c r="AB167" s="110">
        <f t="shared" si="51"/>
        <v>78.64</v>
      </c>
      <c r="AC167" s="110">
        <f t="shared" si="51"/>
        <v>25.656666666666666</v>
      </c>
      <c r="AD167" s="110">
        <f t="shared" si="51"/>
        <v>7.464999999999999</v>
      </c>
      <c r="AE167" s="110">
        <f t="shared" si="51"/>
        <v>23.724999999999998</v>
      </c>
      <c r="AF167" s="110">
        <f t="shared" si="51"/>
        <v>1.5916666666666668</v>
      </c>
      <c r="AG167" s="110">
        <f t="shared" si="51"/>
        <v>9.1666666666666661</v>
      </c>
      <c r="AH167" s="110">
        <f t="shared" si="51"/>
        <v>0.05</v>
      </c>
      <c r="AI167" s="110">
        <f t="shared" si="51"/>
        <v>0.03</v>
      </c>
      <c r="AJ167" s="110">
        <f t="shared" si="51"/>
        <v>0.2</v>
      </c>
      <c r="AK167" s="110" t="e">
        <f t="shared" si="51"/>
        <v>#DIV/0!</v>
      </c>
      <c r="AL167" s="110">
        <f t="shared" si="51"/>
        <v>257</v>
      </c>
      <c r="AM167" s="110"/>
      <c r="AN167" s="110">
        <f t="shared" si="51"/>
        <v>-7168.9910399999999</v>
      </c>
      <c r="AO167" s="110">
        <f t="shared" si="51"/>
        <v>65.602688279999995</v>
      </c>
      <c r="AP167" s="110">
        <f t="shared" si="51"/>
        <v>40.731951840000001</v>
      </c>
      <c r="AQ167" s="110">
        <f t="shared" si="51"/>
        <v>8.6602459200000013</v>
      </c>
      <c r="AR167" s="110">
        <f t="shared" si="51"/>
        <v>4556.2351320000007</v>
      </c>
      <c r="AS167" s="110">
        <f t="shared" si="51"/>
        <v>8767.8675360000016</v>
      </c>
      <c r="AT167" s="110"/>
      <c r="AU167" s="110"/>
      <c r="AV167" s="110"/>
      <c r="AW167" s="110"/>
      <c r="AX167" s="110"/>
    </row>
    <row r="168" spans="1:50" s="7" customFormat="1" x14ac:dyDescent="0.3">
      <c r="A168" s="45"/>
      <c r="B168" s="46"/>
      <c r="F168" s="47"/>
      <c r="G168" s="47"/>
      <c r="I168" s="15"/>
      <c r="J168" s="57"/>
      <c r="K168" s="57"/>
      <c r="L168" s="110"/>
      <c r="M168" s="110"/>
      <c r="N168" s="110"/>
      <c r="O168" s="110"/>
      <c r="P168" s="110"/>
      <c r="Q168" s="110"/>
      <c r="R168" s="110"/>
      <c r="S168" s="110"/>
      <c r="T168" s="110"/>
      <c r="U168" s="110"/>
      <c r="V168" s="110"/>
      <c r="W168" s="109"/>
      <c r="X168" s="109"/>
      <c r="Y168" s="109"/>
      <c r="Z168" s="109"/>
      <c r="AA168" s="109"/>
      <c r="AB168" s="110"/>
      <c r="AC168" s="110"/>
      <c r="AD168" s="110"/>
      <c r="AE168" s="110"/>
      <c r="AF168" s="110"/>
      <c r="AG168" s="110"/>
      <c r="AH168" s="110"/>
      <c r="AI168" s="110"/>
      <c r="AJ168" s="110"/>
      <c r="AK168" s="110"/>
      <c r="AL168" s="110"/>
      <c r="AM168" s="110"/>
      <c r="AN168" s="110"/>
      <c r="AO168" s="110"/>
      <c r="AP168" s="110"/>
      <c r="AQ168" s="110"/>
      <c r="AR168" s="110"/>
      <c r="AS168" s="110"/>
      <c r="AT168" s="110"/>
      <c r="AU168" s="110"/>
      <c r="AV168" s="110"/>
      <c r="AW168" s="110"/>
      <c r="AX168" s="110"/>
    </row>
    <row r="169" spans="1:50" s="7" customFormat="1" x14ac:dyDescent="0.3">
      <c r="A169" s="5">
        <v>44601</v>
      </c>
      <c r="B169" s="46"/>
      <c r="C169" t="s">
        <v>244</v>
      </c>
      <c r="E169" t="s">
        <v>89</v>
      </c>
      <c r="F169">
        <v>40.663347000000002</v>
      </c>
      <c r="G169">
        <v>-78.978893999999997</v>
      </c>
      <c r="H169" t="s">
        <v>241</v>
      </c>
      <c r="I169" s="15"/>
      <c r="J169" s="111">
        <v>122</v>
      </c>
      <c r="K169" t="s">
        <v>96</v>
      </c>
      <c r="L169" s="114">
        <v>7.31</v>
      </c>
      <c r="M169" s="114">
        <v>6.6</v>
      </c>
      <c r="N169" s="112">
        <v>841</v>
      </c>
      <c r="O169" s="112"/>
      <c r="P169" s="112"/>
      <c r="Q169" s="112"/>
      <c r="R169" s="112">
        <v>76.400000000000006</v>
      </c>
      <c r="S169" s="112">
        <v>-56.6</v>
      </c>
      <c r="T169" s="4" cm="1">
        <f t="array" ref="T169">_xlfn.IFS(M169&lt;=5,IF(ISNUMBER(X169)=TRUE,X169*1.79+AA169*1.8+Z169*5.56+50000*(10^-M169)-R169,1.79+AA169*1.8+Z169*5.56+50000*(10^-M169)-R169),M169&gt;5,IF(ISNUMBER(X169)=TRUE,X169*1.79+AA169*1.8+50000*(10^-M169)-R169,AA169*1.8+50000*(10^-M169)-R169))</f>
        <v>-56.835250567842458</v>
      </c>
      <c r="U169" s="112"/>
      <c r="V169" s="112"/>
      <c r="W169" s="113">
        <v>9.2690000000000001</v>
      </c>
      <c r="X169" s="113">
        <v>8.9410000000000007</v>
      </c>
      <c r="Y169" s="113"/>
      <c r="Z169" s="113">
        <v>0.78400000000000003</v>
      </c>
      <c r="AA169" s="113">
        <v>1.9710000000000001</v>
      </c>
      <c r="AB169" s="112">
        <v>388.4</v>
      </c>
      <c r="AC169" s="110"/>
      <c r="AD169" s="110"/>
      <c r="AE169" s="110"/>
      <c r="AF169" s="110"/>
      <c r="AG169" s="110"/>
      <c r="AH169" s="110"/>
      <c r="AI169" s="110"/>
      <c r="AJ169" s="110"/>
      <c r="AK169" s="110"/>
      <c r="AL169" s="110"/>
      <c r="AM169" s="110"/>
      <c r="AN169" s="1">
        <f t="shared" ref="AN169" si="52">S169*J169*0.012</f>
        <v>-82.862399999999994</v>
      </c>
      <c r="AO169" s="1">
        <f t="shared" ref="AO169" si="53">W169*J169*0.012</f>
        <v>13.569815999999999</v>
      </c>
      <c r="AP169" s="1">
        <f t="shared" ref="AP169" si="54">Z169*J169*0.012</f>
        <v>1.1477760000000001</v>
      </c>
      <c r="AQ169" s="1">
        <f t="shared" ref="AQ169" si="55">AA169*J169*0.012</f>
        <v>2.8855440000000003</v>
      </c>
      <c r="AR169" s="1">
        <f t="shared" ref="AR169" si="56">AB169*J169*0.012</f>
        <v>568.61759999999992</v>
      </c>
      <c r="AS169" s="1">
        <f t="shared" ref="AS169" si="57">0.012*R169*J169</f>
        <v>111.84960000000001</v>
      </c>
      <c r="AT169" s="110"/>
      <c r="AU169" s="110"/>
      <c r="AV169" s="110"/>
      <c r="AW169" s="110"/>
      <c r="AX169" s="110"/>
    </row>
    <row r="170" spans="1:50" x14ac:dyDescent="0.3">
      <c r="A170" s="5">
        <v>44699</v>
      </c>
      <c r="C170" t="s">
        <v>244</v>
      </c>
      <c r="E170" t="s">
        <v>89</v>
      </c>
      <c r="F170">
        <v>40.663347000000002</v>
      </c>
      <c r="G170">
        <v>-78.978893999999997</v>
      </c>
      <c r="H170" t="s">
        <v>241</v>
      </c>
      <c r="L170" s="2">
        <v>7.14</v>
      </c>
      <c r="M170" s="2">
        <v>7</v>
      </c>
      <c r="N170" s="1">
        <v>906</v>
      </c>
      <c r="R170" s="4">
        <v>150.4</v>
      </c>
      <c r="S170" s="4">
        <v>-111.2</v>
      </c>
      <c r="T170" s="4" cm="1">
        <f t="array" ref="T170">_xlfn.IFS(M170&lt;=5,IF(ISNUMBER(X170)=TRUE,X170*1.79+AA170*1.8+Z170*5.56+50000*(10^-M170)-R170,1.79+AA170*1.8+Z170*5.56+50000*(10^-M170)-R170),M170&gt;5,IF(ISNUMBER(X170)=TRUE,X170*1.79+AA170*1.8+50000*(10^-M170)-R170,AA170*1.8+50000*(10^-M170)-R170))</f>
        <v>-136.79873000000001</v>
      </c>
      <c r="W170" s="3">
        <v>6.41</v>
      </c>
      <c r="X170" s="3">
        <v>6.0330000000000004</v>
      </c>
      <c r="Z170" s="52">
        <v>0.5</v>
      </c>
      <c r="AA170" s="3">
        <v>1.554</v>
      </c>
      <c r="AB170" s="4">
        <v>331.9</v>
      </c>
      <c r="AD170" s="8"/>
      <c r="AE170" s="8"/>
      <c r="AU170" s="13"/>
      <c r="AV170" s="13"/>
    </row>
    <row r="171" spans="1:50" x14ac:dyDescent="0.3">
      <c r="A171" s="5">
        <v>44846</v>
      </c>
      <c r="B171" s="12" t="s">
        <v>86</v>
      </c>
      <c r="C171" t="s">
        <v>244</v>
      </c>
      <c r="E171" t="s">
        <v>89</v>
      </c>
      <c r="F171">
        <v>40.663347000000002</v>
      </c>
      <c r="G171">
        <v>-78.978893999999997</v>
      </c>
      <c r="H171" t="s">
        <v>95</v>
      </c>
      <c r="I171" s="2">
        <f>I159-0.78</f>
        <v>5.17</v>
      </c>
      <c r="J171" s="1">
        <f>66+35</f>
        <v>101</v>
      </c>
      <c r="K171" t="s">
        <v>96</v>
      </c>
      <c r="M171" s="41">
        <v>6.8</v>
      </c>
      <c r="O171" s="1">
        <v>1038</v>
      </c>
      <c r="Q171" s="4">
        <f>AVERAGE(116,113)</f>
        <v>114.5</v>
      </c>
      <c r="R171" s="4">
        <v>104.8</v>
      </c>
      <c r="S171" s="4">
        <v>-82.2</v>
      </c>
      <c r="T171" s="4" cm="1">
        <f t="array" ref="T171">_xlfn.IFS(M171&lt;=5,IF(ISNUMBER(X171)=TRUE,X171*1.79+AA171*1.8+Z171*5.56+50000*(10^-M171)-Q171,1.79+AA171*1.8+Z171*5.56+50000*(10^-M171)-Q171),M171&gt;5,IF(ISNUMBER(X171)=TRUE,X171*1.79+AA171*1.8+50000*(10^-M171)-Q171,AA171*1.8+50000*(10^-M171)-Q171))</f>
        <v>-110.8205755340377</v>
      </c>
      <c r="W171" s="3">
        <v>3.08</v>
      </c>
      <c r="X171" s="52">
        <v>0.05</v>
      </c>
      <c r="Y171" s="52"/>
      <c r="Z171" s="52">
        <v>0.3</v>
      </c>
      <c r="AA171" s="3">
        <v>1.99</v>
      </c>
      <c r="AB171" s="4">
        <v>6</v>
      </c>
      <c r="AC171" s="3">
        <v>209</v>
      </c>
      <c r="AD171" s="8">
        <v>30.6</v>
      </c>
      <c r="AE171" s="8">
        <v>11.7</v>
      </c>
      <c r="AF171" s="3">
        <v>2.7</v>
      </c>
      <c r="AG171" s="3">
        <v>8</v>
      </c>
      <c r="AH171" s="106">
        <v>0.05</v>
      </c>
      <c r="AI171" s="106">
        <v>0.03</v>
      </c>
      <c r="AJ171" s="3" t="s">
        <v>159</v>
      </c>
      <c r="AN171" s="1">
        <f>S171*J171*0.012</f>
        <v>-99.626400000000004</v>
      </c>
      <c r="AO171" s="1">
        <f>W171*J171*0.012</f>
        <v>3.7329599999999998</v>
      </c>
      <c r="AP171" s="1">
        <f>Z171*J171*0.012</f>
        <v>0.36359999999999998</v>
      </c>
      <c r="AQ171" s="1">
        <f>AA171*J171*0.012</f>
        <v>2.41188</v>
      </c>
      <c r="AR171" s="1">
        <f>AB171*J171*0.012</f>
        <v>7.2720000000000002</v>
      </c>
      <c r="AS171" s="1">
        <f t="shared" si="38"/>
        <v>127.0176</v>
      </c>
      <c r="AT171" t="s">
        <v>108</v>
      </c>
      <c r="AU171" s="13" t="str">
        <f>CONCATENATE(TEXT(ROUNDDOWN(ABS(F171),0),"00"),"° ",TEXT(ROUNDDOWN(ABS((F171-ROUNDDOWN(F171,0))*60),0),"00"),"' ",TEXT(TRUNC((ABS((F171-ROUNDDOWN(F171,0))*60)-ROUNDDOWN(ABS((F171-ROUNDDOWN(F171,0))*60),0))*60,2),"00.00"),"""",IF(F171&lt;0," S"," N"))</f>
        <v>40° 39' 48.04" N</v>
      </c>
      <c r="AV171" s="13" t="str">
        <f>CONCATENATE(TEXT(ROUNDDOWN(ABS(G171),0),"000"),"° ",TEXT(ROUNDDOWN(ABS((G171-ROUNDDOWN(G171,0))*60),0),"00"),"' ",TEXT(TRUNC((ABS((G171-ROUNDDOWN(G171,0))*60)-ROUNDDOWN(ABS((G171-ROUNDDOWN(G171,0))*60),0))*60,2),"00.00"),"""",IF(G171&lt;0," W"," E"))</f>
        <v>078° 58' 44.01" W</v>
      </c>
    </row>
    <row r="172" spans="1:50" x14ac:dyDescent="0.3">
      <c r="A172" s="5">
        <v>44872</v>
      </c>
      <c r="C172" t="s">
        <v>244</v>
      </c>
      <c r="E172" t="s">
        <v>89</v>
      </c>
      <c r="F172">
        <v>40.663347000000002</v>
      </c>
      <c r="G172">
        <v>-78.978893999999997</v>
      </c>
      <c r="H172" t="s">
        <v>241</v>
      </c>
      <c r="J172" s="1">
        <v>66</v>
      </c>
      <c r="K172" t="s">
        <v>96</v>
      </c>
      <c r="L172" s="2">
        <v>6.91</v>
      </c>
      <c r="M172" s="6">
        <v>6.7</v>
      </c>
      <c r="N172" s="1">
        <v>1168</v>
      </c>
      <c r="R172" s="4">
        <v>113.4</v>
      </c>
      <c r="S172" s="4">
        <v>-86.2</v>
      </c>
      <c r="T172" s="4" cm="1">
        <f t="array" ref="T172">_xlfn.IFS(M172&lt;=5,IF(ISNUMBER(X172)=TRUE,X172*1.79+AA172*1.8+Z172*5.56+50000*(10^-M172)-R172,1.79+AA172*1.8+Z172*5.56+50000*(10^-M172)-R172),M172&gt;5,IF(ISNUMBER(X172)=TRUE,X172*1.79+AA172*1.8+50000*(10^-M172)-R172,AA172*1.8+50000*(10^-M172)-R172))</f>
        <v>-105.50488368842517</v>
      </c>
      <c r="W172" s="3">
        <v>2.5419999999999998</v>
      </c>
      <c r="X172" s="3">
        <v>2.5859999999999999</v>
      </c>
      <c r="Z172" s="52">
        <v>0.5</v>
      </c>
      <c r="AA172" s="3">
        <v>1.8089999999999999</v>
      </c>
      <c r="AB172" s="4">
        <v>454</v>
      </c>
      <c r="AD172" s="8"/>
      <c r="AE172" s="8"/>
      <c r="AH172" s="106"/>
      <c r="AI172" s="106"/>
      <c r="AK172" s="3" t="s">
        <v>363</v>
      </c>
      <c r="AL172" s="3" t="s">
        <v>379</v>
      </c>
      <c r="AN172" s="1">
        <f>S172*J172*0.012</f>
        <v>-68.270399999999995</v>
      </c>
      <c r="AO172" s="1">
        <f>W172*J172*0.012</f>
        <v>2.0132639999999999</v>
      </c>
      <c r="AP172" s="1">
        <f>Z172*J172*0.012</f>
        <v>0.39600000000000002</v>
      </c>
      <c r="AQ172" s="1">
        <f>AA172*J172*0.012</f>
        <v>1.432728</v>
      </c>
      <c r="AR172" s="1">
        <f>AB172*J172*0.012</f>
        <v>359.56799999999998</v>
      </c>
      <c r="AS172" s="1">
        <f t="shared" ref="AS172:AS173" si="58">0.012*R172*J172</f>
        <v>89.812799999999996</v>
      </c>
      <c r="AU172" s="13"/>
      <c r="AV172" s="13"/>
    </row>
    <row r="173" spans="1:50" x14ac:dyDescent="0.3">
      <c r="A173" s="5">
        <v>44903</v>
      </c>
      <c r="B173" s="12" t="s">
        <v>86</v>
      </c>
      <c r="C173" t="s">
        <v>244</v>
      </c>
      <c r="E173" t="s">
        <v>89</v>
      </c>
      <c r="F173">
        <v>40.663347000000002</v>
      </c>
      <c r="G173">
        <v>-78.978893999999997</v>
      </c>
      <c r="H173" t="s">
        <v>95</v>
      </c>
      <c r="I173" s="2">
        <f>I160-0.78</f>
        <v>5.17</v>
      </c>
      <c r="J173" s="1">
        <v>90</v>
      </c>
      <c r="K173" t="s">
        <v>96</v>
      </c>
      <c r="L173" s="2">
        <v>6.4</v>
      </c>
      <c r="M173" s="6">
        <v>6.6</v>
      </c>
      <c r="N173" s="1">
        <v>863</v>
      </c>
      <c r="O173" s="1">
        <v>975</v>
      </c>
      <c r="R173" s="4">
        <v>70</v>
      </c>
      <c r="S173" s="4">
        <v>-53.2</v>
      </c>
      <c r="T173" s="4" cm="1">
        <f t="array" ref="T173">_xlfn.IFS(L173&lt;=5,IF(ISNUMBER(X173)=TRUE,X173*1.79+AA173*1.8+Z173*5.56+50000*(10^-L173)-R173,1.79+AA173*1.8+Z173*5.56+50000*(10^-L173)-R173),L173&gt;5,IF(ISNUMBER(X173)=TRUE,X173*1.79+AA173*1.8+50000*(10^-L173)-R173,AA173*1.8+50000*(10^-L173)-R173))</f>
        <v>-61.138774641472324</v>
      </c>
      <c r="W173" s="3">
        <v>3.85</v>
      </c>
      <c r="X173" s="3">
        <v>2.9079999999999999</v>
      </c>
      <c r="Z173" s="52">
        <v>0.3</v>
      </c>
      <c r="AA173" s="3">
        <v>2.02</v>
      </c>
      <c r="AC173" s="3">
        <v>168</v>
      </c>
      <c r="AD173" s="8">
        <v>27.7</v>
      </c>
      <c r="AE173" s="8">
        <v>12.6</v>
      </c>
      <c r="AF173" s="3">
        <v>2.7</v>
      </c>
      <c r="AG173" s="3">
        <v>8.9</v>
      </c>
      <c r="AH173" s="106">
        <v>0.05</v>
      </c>
      <c r="AI173" s="106">
        <v>0.03</v>
      </c>
      <c r="AJ173" s="3" t="s">
        <v>159</v>
      </c>
      <c r="AN173" s="1">
        <f t="shared" ref="AN173:AN182" si="59">S173*J173*0.012</f>
        <v>-57.456000000000003</v>
      </c>
      <c r="AO173" s="1">
        <f t="shared" ref="AO173:AO181" si="60">W173*J173*0.012</f>
        <v>4.1580000000000004</v>
      </c>
      <c r="AP173" s="1">
        <f t="shared" ref="AP173:AP182" si="61">Z173*J173*0.012</f>
        <v>0.32400000000000001</v>
      </c>
      <c r="AQ173" s="1">
        <f t="shared" ref="AQ173:AQ182" si="62">AA173*J173*0.012</f>
        <v>2.1816</v>
      </c>
      <c r="AR173" s="1">
        <f t="shared" ref="AR173:AR182" si="63">AB173*J173*0.012</f>
        <v>0</v>
      </c>
      <c r="AS173" s="1">
        <f t="shared" si="58"/>
        <v>75.599999999999994</v>
      </c>
      <c r="AU173" s="13"/>
      <c r="AV173" s="13"/>
    </row>
    <row r="174" spans="1:50" x14ac:dyDescent="0.3">
      <c r="A174" s="5">
        <v>44944</v>
      </c>
      <c r="C174" t="s">
        <v>244</v>
      </c>
      <c r="E174" t="s">
        <v>89</v>
      </c>
      <c r="F174">
        <v>40.663347000000002</v>
      </c>
      <c r="G174">
        <v>-78.978893999999997</v>
      </c>
      <c r="H174" t="s">
        <v>241</v>
      </c>
      <c r="J174" s="1">
        <v>93</v>
      </c>
      <c r="K174" t="s">
        <v>96</v>
      </c>
      <c r="L174" s="2">
        <v>7.03</v>
      </c>
      <c r="M174" s="6">
        <v>6.7</v>
      </c>
      <c r="N174" s="1">
        <v>1044</v>
      </c>
      <c r="R174" s="4">
        <v>86.6</v>
      </c>
      <c r="S174" s="4">
        <v>-59.6</v>
      </c>
      <c r="T174" s="4" cm="1">
        <f t="array" ref="T174">_xlfn.IFS(L174&lt;=5,IF(ISNUMBER(X174)=TRUE,X174*1.79+AA174*1.8+Z174*5.56+50000*(10^-L174)-R174,1.79+AA174*1.8+Z174*5.56+50000*(10^-L174)-R174),L174&gt;5,IF(ISNUMBER(X174)=TRUE,X174*1.79+AA174*1.8+50000*(10^-L174)-R174,AA174*1.8+50000*(10^-L174)-R174))</f>
        <v>-74.030233728496</v>
      </c>
      <c r="W174" s="3">
        <v>5.3339999999999996</v>
      </c>
      <c r="X174" s="3">
        <v>5.1100000000000003</v>
      </c>
      <c r="Z174" s="52">
        <v>0.5</v>
      </c>
      <c r="AA174" s="3">
        <v>1.899</v>
      </c>
      <c r="AB174" s="4">
        <v>424.3</v>
      </c>
      <c r="AD174" s="8"/>
      <c r="AE174" s="8"/>
      <c r="AH174" s="106"/>
      <c r="AI174" s="106"/>
      <c r="AN174" s="1">
        <f t="shared" si="59"/>
        <v>-66.513599999999997</v>
      </c>
      <c r="AO174" s="1">
        <f t="shared" si="60"/>
        <v>5.9527439999999991</v>
      </c>
      <c r="AP174" s="1">
        <f t="shared" si="61"/>
        <v>0.55800000000000005</v>
      </c>
      <c r="AQ174" s="1">
        <f t="shared" si="62"/>
        <v>2.1192839999999999</v>
      </c>
      <c r="AR174" s="1">
        <f t="shared" si="63"/>
        <v>473.51880000000006</v>
      </c>
      <c r="AS174" s="1">
        <f t="shared" ref="AS174:AS182" si="64">0.012*R174*J174</f>
        <v>96.645599999999988</v>
      </c>
      <c r="AU174" s="13"/>
      <c r="AV174" s="13"/>
    </row>
    <row r="175" spans="1:50" x14ac:dyDescent="0.3">
      <c r="A175" s="5">
        <v>44964</v>
      </c>
      <c r="B175" s="12" t="s">
        <v>86</v>
      </c>
      <c r="C175" t="s">
        <v>244</v>
      </c>
      <c r="E175" t="s">
        <v>89</v>
      </c>
      <c r="F175">
        <v>40.663347000000002</v>
      </c>
      <c r="G175">
        <v>-78.978893999999997</v>
      </c>
      <c r="H175" t="s">
        <v>241</v>
      </c>
      <c r="J175" s="1">
        <v>202</v>
      </c>
      <c r="K175" t="s">
        <v>96</v>
      </c>
      <c r="L175" s="2">
        <v>6.7</v>
      </c>
      <c r="M175" s="2">
        <v>6.8</v>
      </c>
      <c r="N175" s="1">
        <v>1258</v>
      </c>
      <c r="O175" s="1">
        <v>934</v>
      </c>
      <c r="Q175" s="4">
        <v>76</v>
      </c>
      <c r="R175" s="4">
        <v>86.8</v>
      </c>
      <c r="S175" s="4">
        <v>-70.2</v>
      </c>
      <c r="T175" s="4" cm="1">
        <f t="array" ref="T175">_xlfn.IFS(L175&lt;=5,IF(ISNUMBER(X175)=TRUE,X175*1.79+AA175*1.8+Z175*5.56+50000*(10^-L175)-Q175,1.79+AA175*1.8+Z175*5.56+50000*(10^-L175)-Q175),L175&gt;5,IF(ISNUMBER(X175)=TRUE,X175*1.79+AA175*1.8+50000*(10^-L175)-Q175,AA175*1.8+50000*(10^-L175)-Q175))</f>
        <v>-65.816513688425161</v>
      </c>
      <c r="W175" s="3">
        <v>5.1909999999999998</v>
      </c>
      <c r="X175" s="3">
        <v>3.7890000000000001</v>
      </c>
      <c r="Z175" s="3">
        <v>0.45400000000000001</v>
      </c>
      <c r="AA175" s="3">
        <v>1.8839999999999999</v>
      </c>
      <c r="AB175" s="4">
        <v>444.44</v>
      </c>
      <c r="AC175" s="3">
        <v>166.9</v>
      </c>
      <c r="AD175" s="3">
        <v>24.62</v>
      </c>
      <c r="AE175" s="3">
        <v>10.14</v>
      </c>
      <c r="AF175" s="3">
        <v>2.41</v>
      </c>
      <c r="AG175" s="3">
        <v>8.1999999999999993</v>
      </c>
      <c r="AH175" s="106">
        <v>0.05</v>
      </c>
      <c r="AI175" s="106">
        <v>0.03</v>
      </c>
      <c r="AJ175" s="3" t="s">
        <v>159</v>
      </c>
      <c r="AN175" s="1">
        <f t="shared" si="59"/>
        <v>-170.16480000000001</v>
      </c>
      <c r="AO175" s="1">
        <f t="shared" si="60"/>
        <v>12.582983999999998</v>
      </c>
      <c r="AP175" s="1">
        <f t="shared" si="61"/>
        <v>1.1004959999999999</v>
      </c>
      <c r="AQ175" s="1">
        <f t="shared" si="62"/>
        <v>4.5668160000000002</v>
      </c>
      <c r="AR175" s="1">
        <f t="shared" si="63"/>
        <v>1077.3225600000001</v>
      </c>
      <c r="AS175" s="1">
        <f t="shared" si="64"/>
        <v>210.40320000000003</v>
      </c>
    </row>
    <row r="176" spans="1:50" x14ac:dyDescent="0.3">
      <c r="A176" s="5">
        <v>45064</v>
      </c>
      <c r="C176" t="s">
        <v>244</v>
      </c>
      <c r="E176" t="s">
        <v>89</v>
      </c>
      <c r="F176">
        <v>40.663347000000002</v>
      </c>
      <c r="G176">
        <v>-78.978893999999997</v>
      </c>
      <c r="H176" t="s">
        <v>241</v>
      </c>
      <c r="J176" s="1">
        <v>132</v>
      </c>
      <c r="K176" t="s">
        <v>96</v>
      </c>
      <c r="L176" s="2">
        <v>6.88</v>
      </c>
      <c r="M176" s="2">
        <v>6.5</v>
      </c>
      <c r="N176" s="1">
        <v>1119</v>
      </c>
      <c r="R176" s="4">
        <v>129.19999999999999</v>
      </c>
      <c r="S176" s="4">
        <v>-104.4</v>
      </c>
      <c r="T176" s="4" cm="1">
        <f t="array" ref="T176">_xlfn.IFS(M176&lt;=5,IF(ISNUMBER(X176)=TRUE,X176*1.79+AA176*1.8+Z176*5.56+50000*(10^-M176)-R176,1.79+AA176*1.8+Z176*5.56+50000*(10^-M176)-R176),M176&gt;5,IF(ISNUMBER(X176)=TRUE,X176*1.79+AA176*1.8+50000*(10^-M176)-R176,AA176*1.8+50000*(10^-M176)-R176))</f>
        <v>-117.49799861169915</v>
      </c>
      <c r="W176" s="3">
        <v>4.9359999999999999</v>
      </c>
      <c r="X176" s="3">
        <v>4.8010000000000002</v>
      </c>
      <c r="Z176" s="52">
        <v>0.5</v>
      </c>
      <c r="AA176" s="3">
        <v>1.718</v>
      </c>
      <c r="AB176" s="4">
        <v>421.8</v>
      </c>
      <c r="AH176" s="106"/>
      <c r="AI176" s="106"/>
      <c r="AN176" s="1">
        <f t="shared" si="59"/>
        <v>-165.36960000000002</v>
      </c>
      <c r="AO176" s="1">
        <f t="shared" si="60"/>
        <v>7.8186240000000007</v>
      </c>
      <c r="AP176" s="1">
        <f t="shared" si="61"/>
        <v>0.79200000000000004</v>
      </c>
      <c r="AQ176" s="1">
        <f t="shared" si="62"/>
        <v>2.7213120000000002</v>
      </c>
      <c r="AR176" s="1">
        <f t="shared" si="63"/>
        <v>668.13120000000004</v>
      </c>
      <c r="AS176" s="1">
        <f t="shared" si="64"/>
        <v>204.65280000000001</v>
      </c>
    </row>
    <row r="177" spans="1:50" x14ac:dyDescent="0.3">
      <c r="A177" s="5">
        <v>45022</v>
      </c>
      <c r="B177" s="12" t="s">
        <v>77</v>
      </c>
      <c r="C177" t="s">
        <v>244</v>
      </c>
      <c r="E177" t="s">
        <v>89</v>
      </c>
      <c r="F177">
        <v>40.663347000000002</v>
      </c>
      <c r="G177">
        <v>-78.978893999999997</v>
      </c>
      <c r="H177" t="s">
        <v>241</v>
      </c>
      <c r="J177" s="1">
        <v>180</v>
      </c>
      <c r="K177" t="s">
        <v>96</v>
      </c>
      <c r="L177" s="2">
        <v>6.71</v>
      </c>
      <c r="M177" s="2">
        <v>6.6</v>
      </c>
      <c r="N177" s="1">
        <v>850</v>
      </c>
      <c r="O177" s="1">
        <v>1003</v>
      </c>
      <c r="Q177" s="4">
        <v>92</v>
      </c>
      <c r="R177" s="4">
        <v>93.4</v>
      </c>
      <c r="S177" s="4">
        <v>-79.8</v>
      </c>
      <c r="T177" s="4" cm="1">
        <f t="array" ref="T177">_xlfn.IFS(L177&lt;=5,IF(ISNUMBER(X177)=TRUE,X177*1.79+AA177*1.8+Z177*5.56+50000*(10^-L177)-Q177,1.79+AA177*1.8+Z177*5.56+50000*(10^-L177)-Q177),L177&gt;5,IF(ISNUMBER(X177)=TRUE,X177*1.79+AA177*1.8+50000*(10^-L177)-Q177,AA177*1.8+50000*(10^-L177)-Q177))</f>
        <v>-83.350320777001215</v>
      </c>
      <c r="W177" s="3">
        <v>4.0190000000000001</v>
      </c>
      <c r="X177" s="3">
        <v>3.0670000000000002</v>
      </c>
      <c r="Z177" s="3">
        <v>0.3</v>
      </c>
      <c r="AA177" s="3">
        <v>1.75</v>
      </c>
      <c r="AB177" s="4">
        <v>473.38</v>
      </c>
      <c r="AC177" s="3">
        <v>192.4</v>
      </c>
      <c r="AD177" s="3">
        <v>25.89</v>
      </c>
      <c r="AE177" s="3">
        <v>10.56</v>
      </c>
      <c r="AF177" s="3">
        <v>2.54</v>
      </c>
      <c r="AG177" s="3">
        <v>9.1999999999999993</v>
      </c>
      <c r="AH177" s="106">
        <v>0.05</v>
      </c>
      <c r="AI177" s="106">
        <v>0.03</v>
      </c>
      <c r="AJ177" s="3" t="s">
        <v>159</v>
      </c>
      <c r="AN177" s="1">
        <f t="shared" si="59"/>
        <v>-172.36799999999999</v>
      </c>
      <c r="AO177" s="1">
        <f t="shared" si="60"/>
        <v>8.6810400000000012</v>
      </c>
      <c r="AP177" s="1">
        <f t="shared" si="61"/>
        <v>0.64800000000000002</v>
      </c>
      <c r="AQ177" s="1">
        <f t="shared" si="62"/>
        <v>3.7800000000000002</v>
      </c>
      <c r="AR177" s="1">
        <f t="shared" si="63"/>
        <v>1022.5007999999999</v>
      </c>
      <c r="AS177" s="1">
        <f t="shared" si="64"/>
        <v>201.744</v>
      </c>
    </row>
    <row r="178" spans="1:50" x14ac:dyDescent="0.3">
      <c r="A178" s="5">
        <v>45138</v>
      </c>
      <c r="C178" t="s">
        <v>244</v>
      </c>
      <c r="E178" t="s">
        <v>89</v>
      </c>
      <c r="F178">
        <v>40.663347000000002</v>
      </c>
      <c r="G178">
        <v>-78.978893999999997</v>
      </c>
      <c r="H178" t="s">
        <v>241</v>
      </c>
      <c r="J178" s="1">
        <v>100</v>
      </c>
      <c r="K178" t="s">
        <v>96</v>
      </c>
      <c r="L178" s="2">
        <v>6.64</v>
      </c>
      <c r="M178" s="2">
        <v>6.4</v>
      </c>
      <c r="N178" s="1">
        <v>1008</v>
      </c>
      <c r="R178" s="4">
        <v>171.4</v>
      </c>
      <c r="S178" s="4">
        <v>-128.19999999999999</v>
      </c>
      <c r="T178" s="4" cm="1">
        <f t="array" ref="T178">_xlfn.IFS(M178&lt;=5,IF(ISNUMBER(X178)=TRUE,X178*1.79+AA178*1.8+Z178*5.56+50000*(10^-M178)-R178,1.79+AA178*1.8+Z178*5.56+50000*(10^-M178)-R178),M178&gt;5,IF(ISNUMBER(X178)=TRUE,X178*1.79+AA178*1.8+50000*(10^-M178)-R178,AA178*1.8+50000*(10^-M178)-R178))</f>
        <v>-149.98918464147232</v>
      </c>
      <c r="W178" s="3">
        <v>8.9459999999999997</v>
      </c>
      <c r="X178" s="3">
        <v>9.9290000000000003</v>
      </c>
      <c r="Z178" s="52">
        <v>0.5</v>
      </c>
      <c r="AA178" s="3">
        <v>2.0099999999999998</v>
      </c>
      <c r="AB178" s="4">
        <v>370.9</v>
      </c>
      <c r="AH178" s="106"/>
      <c r="AI178" s="106"/>
      <c r="AN178" s="1">
        <f t="shared" si="59"/>
        <v>-153.83999999999997</v>
      </c>
      <c r="AO178" s="1">
        <f t="shared" si="60"/>
        <v>10.735200000000001</v>
      </c>
      <c r="AP178" s="1">
        <f t="shared" si="61"/>
        <v>0.6</v>
      </c>
      <c r="AQ178" s="1">
        <f t="shared" si="62"/>
        <v>2.4119999999999999</v>
      </c>
      <c r="AR178" s="1">
        <f t="shared" si="63"/>
        <v>445.08</v>
      </c>
      <c r="AS178" s="1">
        <f t="shared" si="64"/>
        <v>205.68</v>
      </c>
    </row>
    <row r="179" spans="1:50" x14ac:dyDescent="0.3">
      <c r="A179" s="5">
        <v>45098</v>
      </c>
      <c r="B179" s="12" t="s">
        <v>275</v>
      </c>
      <c r="C179" t="s">
        <v>244</v>
      </c>
      <c r="E179" t="s">
        <v>89</v>
      </c>
      <c r="F179">
        <v>40.663347000000002</v>
      </c>
      <c r="G179">
        <v>-78.978893999999997</v>
      </c>
      <c r="H179" t="s">
        <v>241</v>
      </c>
      <c r="J179" s="1">
        <v>120</v>
      </c>
      <c r="K179" t="s">
        <v>96</v>
      </c>
      <c r="L179" s="2">
        <v>6.81</v>
      </c>
      <c r="M179" s="2">
        <v>7.1</v>
      </c>
      <c r="N179" s="1">
        <v>11.11</v>
      </c>
      <c r="O179" s="1">
        <v>1036</v>
      </c>
      <c r="P179" s="3">
        <v>18.100000000000001</v>
      </c>
      <c r="Q179" s="4">
        <v>138</v>
      </c>
      <c r="R179" s="4">
        <v>148.80000000000001</v>
      </c>
      <c r="S179" s="4">
        <v>-124.4</v>
      </c>
      <c r="T179" s="4" cm="1">
        <f t="array" ref="T179">_xlfn.IFS(L179&lt;=5,IF(ISNUMBER(X179)=TRUE,X179*1.79+AA179*1.8+Z179*5.56+50000*(10^-L179)-Q179,1.79+AA179*1.8+Z179*5.56+50000*(10^-L179)-Q179),L179&gt;5,IF(ISNUMBER(X179)=TRUE,X179*1.79+AA179*1.8+50000*(10^-L179)-Q179,AA179*1.8+50000*(10^-L179)-Q179))</f>
        <v>-121.29394591690544</v>
      </c>
      <c r="W179" s="3">
        <v>10.73</v>
      </c>
      <c r="X179" s="3">
        <v>6.149</v>
      </c>
      <c r="Z179" s="3">
        <v>0.3</v>
      </c>
      <c r="AA179" s="3">
        <v>3.1619999999999999</v>
      </c>
      <c r="AB179" s="4">
        <v>454.1</v>
      </c>
      <c r="AC179" s="3">
        <v>190.2</v>
      </c>
      <c r="AD179" s="3">
        <v>28.02</v>
      </c>
      <c r="AE179" s="3">
        <v>10.59</v>
      </c>
      <c r="AF179" s="3">
        <v>2.4500000000000002</v>
      </c>
      <c r="AG179" s="3">
        <v>7.8</v>
      </c>
      <c r="AH179" s="106">
        <v>0.05</v>
      </c>
      <c r="AI179" s="106">
        <v>0.03</v>
      </c>
      <c r="AJ179" s="3">
        <v>0.2</v>
      </c>
      <c r="AN179" s="1">
        <f t="shared" si="59"/>
        <v>-179.136</v>
      </c>
      <c r="AO179" s="1">
        <f t="shared" si="60"/>
        <v>15.451200000000002</v>
      </c>
      <c r="AP179" s="1">
        <f t="shared" si="61"/>
        <v>0.432</v>
      </c>
      <c r="AQ179" s="1">
        <f t="shared" si="62"/>
        <v>4.55328</v>
      </c>
      <c r="AR179" s="1">
        <f t="shared" si="63"/>
        <v>653.904</v>
      </c>
      <c r="AS179" s="1">
        <f t="shared" si="64"/>
        <v>214.27200000000002</v>
      </c>
    </row>
    <row r="180" spans="1:50" x14ac:dyDescent="0.3">
      <c r="A180" s="5">
        <v>45169</v>
      </c>
      <c r="B180" s="12" t="s">
        <v>275</v>
      </c>
      <c r="C180" t="s">
        <v>244</v>
      </c>
      <c r="E180" t="s">
        <v>89</v>
      </c>
      <c r="F180">
        <v>40.663347000000002</v>
      </c>
      <c r="G180">
        <v>-78.978893999999997</v>
      </c>
      <c r="H180" t="s">
        <v>241</v>
      </c>
      <c r="J180" s="1">
        <v>150</v>
      </c>
      <c r="K180" t="s">
        <v>96</v>
      </c>
      <c r="L180" s="2">
        <v>6.75</v>
      </c>
      <c r="M180" s="2">
        <v>6.4</v>
      </c>
      <c r="N180" s="1">
        <v>987</v>
      </c>
      <c r="O180" s="6">
        <v>992</v>
      </c>
      <c r="P180" s="3">
        <v>17.7</v>
      </c>
      <c r="Q180" s="4">
        <v>134</v>
      </c>
      <c r="R180" s="4">
        <v>130.6</v>
      </c>
      <c r="S180" s="4">
        <v>-114.4</v>
      </c>
      <c r="T180" s="4" cm="1">
        <f t="array" ref="T180">_xlfn.IFS(L180&lt;=5,IF(ISNUMBER(X180)=TRUE,X180*1.79+AA180*1.8+Z180*5.56+50000*(10^-L180)-Q180,1.79+AA180*1.8+Z180*5.56+50000*(10^-L180)-Q180),L180&gt;5,IF(ISNUMBER(X180)=TRUE,X180*1.79+AA180*1.8+50000*(10^-L180)-Q180,AA180*1.8+50000*(10^-L180)-Q180))</f>
        <v>-119.12882860294981</v>
      </c>
      <c r="W180" s="3">
        <v>7.68</v>
      </c>
      <c r="X180" s="3">
        <v>6.3319999999999999</v>
      </c>
      <c r="Z180" s="3">
        <v>0.3</v>
      </c>
      <c r="AA180" s="3">
        <v>1.96</v>
      </c>
      <c r="AB180" s="4">
        <v>457.52</v>
      </c>
      <c r="AC180" s="3">
        <v>184</v>
      </c>
      <c r="AD180" s="6">
        <v>26.9</v>
      </c>
      <c r="AE180" s="6">
        <v>11.9</v>
      </c>
      <c r="AF180" s="6">
        <v>2.4700000000000002</v>
      </c>
      <c r="AG180" s="6">
        <v>8.1</v>
      </c>
      <c r="AH180" s="106">
        <v>0.05</v>
      </c>
      <c r="AI180" s="106">
        <v>0.03</v>
      </c>
      <c r="AJ180" s="3">
        <v>0.2</v>
      </c>
      <c r="AN180" s="1">
        <f t="shared" si="59"/>
        <v>-205.92000000000002</v>
      </c>
      <c r="AO180" s="1">
        <f t="shared" si="60"/>
        <v>13.824</v>
      </c>
      <c r="AP180" s="1">
        <f t="shared" si="61"/>
        <v>0.54</v>
      </c>
      <c r="AQ180" s="1">
        <f t="shared" si="62"/>
        <v>3.528</v>
      </c>
      <c r="AR180" s="1">
        <f t="shared" si="63"/>
        <v>823.53600000000006</v>
      </c>
      <c r="AS180" s="1">
        <f t="shared" si="64"/>
        <v>235.07999999999998</v>
      </c>
    </row>
    <row r="181" spans="1:50" x14ac:dyDescent="0.3">
      <c r="A181" s="5">
        <v>45266</v>
      </c>
      <c r="C181" t="s">
        <v>244</v>
      </c>
      <c r="E181" t="s">
        <v>89</v>
      </c>
      <c r="F181">
        <v>40.663347000000002</v>
      </c>
      <c r="G181">
        <v>-78.978893999999997</v>
      </c>
      <c r="H181" t="s">
        <v>241</v>
      </c>
      <c r="J181" s="1">
        <v>80</v>
      </c>
      <c r="K181" t="s">
        <v>96</v>
      </c>
      <c r="L181" s="2">
        <v>6.37</v>
      </c>
      <c r="M181" s="2">
        <v>6.6</v>
      </c>
      <c r="N181" s="1">
        <v>1004</v>
      </c>
      <c r="O181" s="6"/>
      <c r="R181" s="4">
        <v>96.6</v>
      </c>
      <c r="S181" s="4">
        <v>-69</v>
      </c>
      <c r="T181" s="4" cm="1">
        <f t="array" ref="T181">_xlfn.IFS(M181&lt;=5,IF(ISNUMBER(X181)=TRUE,X181*1.79+AA181*1.8+Z181*5.56+50000*(10^-M181)-R181,1.79+AA181*1.8+Z181*5.56+50000*(10^-M181)-R181),M181&gt;5,IF(ISNUMBER(X181)=TRUE,X181*1.79+AA181*1.8+50000*(10^-M181)-R181,AA181*1.8+50000*(10^-M181)-R181))</f>
        <v>-82.450810567842453</v>
      </c>
      <c r="W181" s="3">
        <v>6.2619999999999996</v>
      </c>
      <c r="X181" s="3">
        <v>5.9969999999999999</v>
      </c>
      <c r="Z181" s="52">
        <v>0.5</v>
      </c>
      <c r="AA181" s="3">
        <v>1.89</v>
      </c>
      <c r="AB181" s="4">
        <v>441.2</v>
      </c>
      <c r="AD181" s="6"/>
      <c r="AE181" s="6"/>
      <c r="AF181" s="6"/>
      <c r="AG181" s="6"/>
      <c r="AH181" s="106"/>
      <c r="AI181" s="106"/>
      <c r="AN181" s="1">
        <f t="shared" si="59"/>
        <v>-66.239999999999995</v>
      </c>
      <c r="AO181" s="1">
        <f t="shared" si="60"/>
        <v>6.01152</v>
      </c>
      <c r="AP181" s="1">
        <f t="shared" si="61"/>
        <v>0.48</v>
      </c>
      <c r="AQ181" s="1">
        <f t="shared" si="62"/>
        <v>1.8143999999999998</v>
      </c>
      <c r="AR181" s="1">
        <f t="shared" si="63"/>
        <v>423.55200000000002</v>
      </c>
      <c r="AS181" s="1">
        <f t="shared" si="64"/>
        <v>92.736000000000004</v>
      </c>
    </row>
    <row r="182" spans="1:50" x14ac:dyDescent="0.3">
      <c r="A182" s="5">
        <v>45376</v>
      </c>
      <c r="C182" t="s">
        <v>244</v>
      </c>
      <c r="E182" t="s">
        <v>89</v>
      </c>
      <c r="F182">
        <v>40.663347000000002</v>
      </c>
      <c r="G182">
        <v>-78.978893999999997</v>
      </c>
      <c r="H182" t="s">
        <v>241</v>
      </c>
      <c r="J182" s="1">
        <v>200</v>
      </c>
      <c r="K182" t="s">
        <v>96</v>
      </c>
      <c r="L182" s="2">
        <v>6.24</v>
      </c>
      <c r="M182" s="2">
        <v>6.3</v>
      </c>
      <c r="N182" s="1">
        <v>818</v>
      </c>
      <c r="O182" s="6"/>
      <c r="R182" s="4">
        <v>87.6</v>
      </c>
      <c r="S182" s="4">
        <v>-67.8</v>
      </c>
      <c r="T182" s="4" cm="1">
        <f t="array" ref="T182">_xlfn.IFS(M182&lt;=5,IF(ISNUMBER(X182)=TRUE,X182*1.79+AA182*1.8+Z182*5.56+50000*(10^-M182)-R182,1.79+AA182*1.8+Z182*5.56+50000*(10^-M182)-R182),M182&gt;5,IF(ISNUMBER(X182)=TRUE,X182*1.79+AA182*1.8+50000*(10^-M182)-R182,AA182*1.8+50000*(10^-M182)-R182))</f>
        <v>-75.739550638318633</v>
      </c>
      <c r="W182" s="3">
        <v>5.2629999999999999</v>
      </c>
      <c r="X182" s="3">
        <v>5.0010000000000003</v>
      </c>
      <c r="Z182" s="52">
        <v>0.5</v>
      </c>
      <c r="AA182" s="3">
        <v>1.6020000000000001</v>
      </c>
      <c r="AB182" s="4">
        <v>391.2</v>
      </c>
      <c r="AD182" s="6"/>
      <c r="AE182" s="6"/>
      <c r="AF182" s="6"/>
      <c r="AG182" s="6"/>
      <c r="AH182" s="106"/>
      <c r="AI182" s="106"/>
      <c r="AN182" s="1">
        <f t="shared" si="59"/>
        <v>-162.72</v>
      </c>
      <c r="AO182" s="1">
        <f>W182*J182*0.012</f>
        <v>12.6312</v>
      </c>
      <c r="AP182" s="1">
        <f t="shared" si="61"/>
        <v>1.2</v>
      </c>
      <c r="AQ182" s="1">
        <f t="shared" si="62"/>
        <v>3.8448000000000007</v>
      </c>
      <c r="AR182" s="1">
        <f t="shared" si="63"/>
        <v>938.88</v>
      </c>
      <c r="AS182" s="1">
        <f t="shared" si="64"/>
        <v>210.23999999999998</v>
      </c>
    </row>
    <row r="183" spans="1:50" x14ac:dyDescent="0.3">
      <c r="A183" s="71">
        <v>45527</v>
      </c>
      <c r="B183" s="6">
        <v>19</v>
      </c>
      <c r="C183" t="s">
        <v>244</v>
      </c>
      <c r="E183" t="s">
        <v>89</v>
      </c>
      <c r="F183">
        <v>40.663347000000002</v>
      </c>
      <c r="G183">
        <v>-78.978893999999997</v>
      </c>
      <c r="H183" t="s">
        <v>218</v>
      </c>
      <c r="I183"/>
      <c r="J183" s="1">
        <v>111</v>
      </c>
      <c r="K183" t="s">
        <v>96</v>
      </c>
      <c r="L183" s="2">
        <v>6.93</v>
      </c>
      <c r="M183" s="41">
        <v>7</v>
      </c>
      <c r="N183" s="1">
        <v>1001</v>
      </c>
      <c r="O183"/>
      <c r="P183" s="6"/>
      <c r="Q183"/>
      <c r="R183" s="40">
        <v>151.80000000000001</v>
      </c>
      <c r="S183" s="40">
        <v>-124</v>
      </c>
      <c r="T183" s="4" cm="1">
        <f t="array" ref="T183">_xlfn.IFS(L183&lt;=5,IF(ISNUMBER(X183)=TRUE,X183*1.79+AA183*1.8+Z183*5.56+50000*(10^-L183)-R183,1.79+AA183*1.8+Z183*5.56+50000*(10^-L183)-R183),L183&gt;5,IF(ISNUMBER(X183)=TRUE,X183*1.79+AA183*1.8+50000*(10^-L183)-R183,AA183*1.8+50000*(10^-L183)-R183))</f>
        <v>-147.86305551222532</v>
      </c>
      <c r="U183"/>
      <c r="V183"/>
      <c r="W183" s="8">
        <v>2.1789999999999998</v>
      </c>
      <c r="X183" s="3">
        <v>0.55300000000000005</v>
      </c>
      <c r="Z183" s="3">
        <v>0.5</v>
      </c>
      <c r="AA183" s="8">
        <v>1.6339999999999999</v>
      </c>
      <c r="AB183" s="40">
        <v>456.8</v>
      </c>
      <c r="AC183"/>
      <c r="AD183"/>
      <c r="AE183"/>
      <c r="AF183"/>
      <c r="AG183"/>
      <c r="AH183"/>
      <c r="AI183"/>
      <c r="AJ183"/>
      <c r="AK183" s="6" t="s">
        <v>363</v>
      </c>
      <c r="AL183" s="6">
        <v>808</v>
      </c>
      <c r="AM183"/>
      <c r="AN183" s="1">
        <f t="shared" ref="AN183" si="65">S183*J183*0.012</f>
        <v>-165.16800000000001</v>
      </c>
      <c r="AO183" s="1">
        <f t="shared" ref="AO183" si="66">W183*J183*0.012</f>
        <v>2.9024279999999996</v>
      </c>
      <c r="AP183" s="1">
        <f t="shared" ref="AP183" si="67">Z183*J183*0.012</f>
        <v>0.66600000000000004</v>
      </c>
      <c r="AQ183" s="1">
        <f t="shared" ref="AQ183" si="68">AA183*J183*0.012</f>
        <v>2.176488</v>
      </c>
      <c r="AR183" s="1">
        <f t="shared" ref="AR183" si="69">AB183*J183*0.012</f>
        <v>608.45760000000007</v>
      </c>
      <c r="AS183" s="1">
        <f t="shared" ref="AS183" si="70">0.012*R183*J183</f>
        <v>202.19760000000002</v>
      </c>
    </row>
    <row r="184" spans="1:50" x14ac:dyDescent="0.3">
      <c r="A184" s="71">
        <v>45595</v>
      </c>
      <c r="B184" s="6">
        <v>16</v>
      </c>
      <c r="C184" t="s">
        <v>244</v>
      </c>
      <c r="E184" t="s">
        <v>89</v>
      </c>
      <c r="F184">
        <v>40.663347000000002</v>
      </c>
      <c r="G184">
        <v>-78.978893999999997</v>
      </c>
      <c r="H184" t="s">
        <v>299</v>
      </c>
      <c r="I184"/>
      <c r="J184" s="1">
        <v>96.56</v>
      </c>
      <c r="K184" t="s">
        <v>96</v>
      </c>
      <c r="L184" s="2">
        <v>6.66</v>
      </c>
      <c r="M184" s="41">
        <v>7</v>
      </c>
      <c r="N184" s="1">
        <v>1043</v>
      </c>
      <c r="O184"/>
      <c r="P184" s="6">
        <v>10.6</v>
      </c>
      <c r="Q184"/>
      <c r="R184" s="40">
        <v>136.4</v>
      </c>
      <c r="S184" s="40">
        <v>-114.6</v>
      </c>
      <c r="T184" s="4" cm="1">
        <f t="array" ref="T184">_xlfn.IFS(L184&lt;=5,IF(ISNUMBER(X184)=TRUE,X184*1.79+AA184*1.8+Z184*5.56+50000*(10^-L184)-R184,1.79+AA184*1.8+Z184*5.56+50000*(10^-L184)-R184),L184&gt;5,IF(ISNUMBER(X184)=TRUE,X184*1.79+AA184*1.8+50000*(10^-L184)-R184,AA184*1.8+50000*(10^-L184)-R184))</f>
        <v>-129.16196119188027</v>
      </c>
      <c r="U184"/>
      <c r="V184"/>
      <c r="W184" s="8">
        <v>3.0139999999999998</v>
      </c>
      <c r="X184" s="3">
        <v>2.33</v>
      </c>
      <c r="Z184" s="3">
        <v>0.5</v>
      </c>
      <c r="AA184" s="8">
        <v>1.698</v>
      </c>
      <c r="AB184" s="40">
        <v>592</v>
      </c>
      <c r="AC184"/>
      <c r="AD184"/>
      <c r="AE184"/>
      <c r="AF184"/>
      <c r="AG184"/>
      <c r="AH184"/>
      <c r="AI184"/>
      <c r="AJ184"/>
      <c r="AK184" s="6" t="s">
        <v>363</v>
      </c>
      <c r="AL184" s="6">
        <v>840</v>
      </c>
      <c r="AM184"/>
      <c r="AN184" s="1">
        <f t="shared" ref="AN184" si="71">S184*J184*0.012</f>
        <v>-132.789312</v>
      </c>
      <c r="AO184" s="1">
        <f t="shared" ref="AO184" si="72">W184*J184*0.012</f>
        <v>3.4923820800000001</v>
      </c>
      <c r="AP184" s="1">
        <f t="shared" ref="AP184" si="73">Z184*J184*0.012</f>
        <v>0.57935999999999999</v>
      </c>
      <c r="AQ184" s="1">
        <f t="shared" ref="AQ184" si="74">AA184*J184*0.012</f>
        <v>1.9675065599999999</v>
      </c>
      <c r="AR184" s="1">
        <f t="shared" ref="AR184" si="75">AB184*J184*0.012</f>
        <v>685.96224000000007</v>
      </c>
      <c r="AS184" s="1">
        <f t="shared" ref="AS184" si="76">0.012*R184*J184</f>
        <v>158.049408</v>
      </c>
    </row>
    <row r="185" spans="1:50" s="7" customFormat="1" x14ac:dyDescent="0.3">
      <c r="A185" s="45" t="s">
        <v>144</v>
      </c>
      <c r="B185" s="46"/>
      <c r="I185" s="15"/>
      <c r="J185" s="20">
        <f>AVERAGE(J171:J184)</f>
        <v>122.96857142857142</v>
      </c>
      <c r="K185" s="20" t="e">
        <f t="shared" ref="K185:AR185" si="77">AVERAGE(K171:K184)</f>
        <v>#DIV/0!</v>
      </c>
      <c r="L185" s="20">
        <f t="shared" si="77"/>
        <v>6.6946153846153846</v>
      </c>
      <c r="M185" s="20">
        <f t="shared" si="77"/>
        <v>6.6785714285714288</v>
      </c>
      <c r="N185" s="20">
        <f t="shared" si="77"/>
        <v>936.47</v>
      </c>
      <c r="O185" s="20">
        <f t="shared" si="77"/>
        <v>996.33333333333337</v>
      </c>
      <c r="P185" s="20">
        <f t="shared" si="77"/>
        <v>15.466666666666667</v>
      </c>
      <c r="Q185" s="20">
        <f t="shared" si="77"/>
        <v>110.9</v>
      </c>
      <c r="R185" s="20">
        <f t="shared" si="77"/>
        <v>114.81428571428569</v>
      </c>
      <c r="S185" s="20">
        <f t="shared" si="77"/>
        <v>-91.285714285714263</v>
      </c>
      <c r="T185" s="20">
        <f t="shared" si="77"/>
        <v>-103.12761698151078</v>
      </c>
      <c r="U185" s="20"/>
      <c r="V185" s="20"/>
      <c r="W185" s="20">
        <f t="shared" si="77"/>
        <v>5.2161428571428567</v>
      </c>
      <c r="X185" s="20">
        <f t="shared" si="77"/>
        <v>4.1858571428571425</v>
      </c>
      <c r="Y185" s="20"/>
      <c r="Z185" s="50">
        <f t="shared" si="77"/>
        <v>0.42528571428571427</v>
      </c>
      <c r="AA185" s="20">
        <f t="shared" si="77"/>
        <v>1.9304285714285716</v>
      </c>
      <c r="AB185" s="20">
        <f t="shared" si="77"/>
        <v>414.43384615384616</v>
      </c>
      <c r="AC185" s="20">
        <f t="shared" si="77"/>
        <v>185.08333333333334</v>
      </c>
      <c r="AD185" s="20">
        <f t="shared" si="77"/>
        <v>27.288333333333338</v>
      </c>
      <c r="AE185" s="20">
        <f t="shared" si="77"/>
        <v>11.248333333333335</v>
      </c>
      <c r="AF185" s="20">
        <f t="shared" si="77"/>
        <v>2.5450000000000004</v>
      </c>
      <c r="AG185" s="20">
        <f t="shared" si="77"/>
        <v>8.3666666666666654</v>
      </c>
      <c r="AH185" s="20">
        <f t="shared" si="77"/>
        <v>4.9999999999999996E-2</v>
      </c>
      <c r="AI185" s="20">
        <f t="shared" si="77"/>
        <v>0.03</v>
      </c>
      <c r="AJ185" s="20">
        <f t="shared" si="77"/>
        <v>0.2</v>
      </c>
      <c r="AK185" s="20" t="e">
        <f t="shared" si="77"/>
        <v>#DIV/0!</v>
      </c>
      <c r="AL185" s="20">
        <f t="shared" si="77"/>
        <v>824</v>
      </c>
      <c r="AM185" s="20"/>
      <c r="AN185" s="20">
        <f t="shared" si="77"/>
        <v>-133.25586514285715</v>
      </c>
      <c r="AO185" s="20">
        <f t="shared" si="77"/>
        <v>7.8562532914285717</v>
      </c>
      <c r="AP185" s="20">
        <f t="shared" si="77"/>
        <v>0.61996114285714277</v>
      </c>
      <c r="AQ185" s="20">
        <f t="shared" si="77"/>
        <v>2.8221496114285713</v>
      </c>
      <c r="AR185" s="20">
        <f t="shared" si="77"/>
        <v>584.83465714285717</v>
      </c>
      <c r="AS185" s="20">
        <f>AVERAGE(AS171:AS184)</f>
        <v>166.0093577142857</v>
      </c>
      <c r="AT185" s="20"/>
      <c r="AU185" s="20"/>
      <c r="AV185" s="20"/>
      <c r="AW185" s="20"/>
      <c r="AX185" s="20"/>
    </row>
    <row r="186" spans="1:50" s="7" customFormat="1" x14ac:dyDescent="0.3">
      <c r="A186" s="45"/>
      <c r="B186" s="46"/>
      <c r="I186" s="15"/>
      <c r="J186" s="20"/>
      <c r="K186" s="20"/>
      <c r="L186" s="20"/>
      <c r="M186" s="20"/>
      <c r="N186" s="20"/>
      <c r="O186" s="20"/>
      <c r="P186" s="20"/>
      <c r="Q186" s="20"/>
      <c r="R186" s="20"/>
      <c r="S186" s="20"/>
      <c r="T186" s="20"/>
      <c r="U186" s="20"/>
      <c r="V186" s="20"/>
      <c r="W186" s="20"/>
      <c r="X186" s="20"/>
      <c r="Y186" s="20"/>
      <c r="Z186" s="5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0"/>
    </row>
    <row r="187" spans="1:50" x14ac:dyDescent="0.3">
      <c r="A187" s="5">
        <v>45345</v>
      </c>
      <c r="B187" s="12" t="s">
        <v>48</v>
      </c>
      <c r="C187" t="s">
        <v>319</v>
      </c>
      <c r="E187" t="s">
        <v>320</v>
      </c>
      <c r="H187" t="s">
        <v>245</v>
      </c>
      <c r="L187" s="43">
        <v>3.35</v>
      </c>
      <c r="M187" s="43">
        <v>3.3</v>
      </c>
      <c r="N187" s="1">
        <v>1021</v>
      </c>
      <c r="P187" s="31">
        <v>10.199999999999999</v>
      </c>
      <c r="Q187" s="1">
        <v>0</v>
      </c>
      <c r="R187" s="1">
        <v>0</v>
      </c>
      <c r="S187" s="1">
        <v>142.6</v>
      </c>
      <c r="T187" s="4" cm="1">
        <f t="array" ref="T187">_xlfn.IFS(L187&lt;=5,IF(ISNUMBER(W187)=TRUE,W187*1.79+AA187*1.8+Z187*5.56+50000*(10^-L187)-Q187,1.79+AA187*1.8+Z187*5.56+50000*(10^-L187)-Q187),L187&gt;5,IF(ISNUMBER(W187)=TRUE,W187*1.79+AA187*1.8+50000*(10^-L187)-Q187,AA187*1.8+50000*(10^-L187)-Q187))</f>
        <v>135.65290960754811</v>
      </c>
      <c r="U187" s="1"/>
      <c r="V187" s="1"/>
      <c r="W187" s="1">
        <v>29.498999999999999</v>
      </c>
      <c r="X187" s="1"/>
      <c r="Y187" s="1"/>
      <c r="Z187" s="1">
        <v>10.077</v>
      </c>
      <c r="AA187" s="1">
        <v>2.4929999999999999</v>
      </c>
      <c r="AB187" s="1">
        <v>550.79999999999995</v>
      </c>
      <c r="AC187" s="1"/>
      <c r="AD187" s="1"/>
      <c r="AE187" s="1"/>
      <c r="AF187" s="1"/>
      <c r="AG187" s="1"/>
      <c r="AH187" s="1"/>
      <c r="AI187" s="1"/>
      <c r="AJ187" s="1"/>
      <c r="AK187" s="1">
        <v>40</v>
      </c>
      <c r="AL187" s="1">
        <v>914</v>
      </c>
      <c r="AM187" s="1"/>
    </row>
    <row r="188" spans="1:50" x14ac:dyDescent="0.3">
      <c r="A188" s="5">
        <v>45366</v>
      </c>
      <c r="B188" s="12" t="s">
        <v>52</v>
      </c>
      <c r="C188" t="s">
        <v>319</v>
      </c>
      <c r="E188" t="s">
        <v>320</v>
      </c>
      <c r="H188" t="s">
        <v>245</v>
      </c>
      <c r="L188" s="43">
        <v>2.44</v>
      </c>
      <c r="M188" s="43">
        <v>3.1</v>
      </c>
      <c r="N188" s="1">
        <v>1447</v>
      </c>
      <c r="P188" s="31">
        <v>11.7</v>
      </c>
      <c r="Q188" s="1">
        <v>0</v>
      </c>
      <c r="R188" s="1">
        <v>0</v>
      </c>
      <c r="S188" s="1">
        <v>170.2</v>
      </c>
      <c r="T188" s="4">
        <f>(X188*1.79+Y188*2.68+5.56*Z188+1.82*AA188+50000*(10^-L188)-R188)</f>
        <v>283.16600738505053</v>
      </c>
      <c r="U188" s="1"/>
      <c r="V188" s="1"/>
      <c r="W188" s="1">
        <v>10.448</v>
      </c>
      <c r="X188" s="1">
        <v>6.6639999999999997</v>
      </c>
      <c r="Y188" s="4">
        <f t="shared" ref="Y188:Y194" si="78">IF(W188-X188&lt;0,0,W188-X188)</f>
        <v>3.7840000000000007</v>
      </c>
      <c r="Z188" s="1">
        <v>13.428000000000001</v>
      </c>
      <c r="AA188" s="1">
        <v>2.6909999999999998</v>
      </c>
      <c r="AB188" s="1">
        <v>514.79999999999995</v>
      </c>
      <c r="AC188" s="1"/>
      <c r="AD188" s="1"/>
      <c r="AE188" s="1"/>
      <c r="AF188" s="1"/>
      <c r="AG188" s="1"/>
      <c r="AH188" s="1"/>
      <c r="AI188" s="1"/>
      <c r="AJ188" s="1"/>
      <c r="AK188" s="1" t="s">
        <v>363</v>
      </c>
      <c r="AL188" s="1">
        <v>840</v>
      </c>
      <c r="AM188" s="1"/>
    </row>
    <row r="189" spans="1:50" x14ac:dyDescent="0.3">
      <c r="A189" s="5">
        <v>45392</v>
      </c>
      <c r="B189" s="12" t="s">
        <v>46</v>
      </c>
      <c r="C189" t="s">
        <v>319</v>
      </c>
      <c r="E189" t="s">
        <v>320</v>
      </c>
      <c r="H189" t="s">
        <v>245</v>
      </c>
      <c r="L189" s="43">
        <v>3.23</v>
      </c>
      <c r="M189" s="43">
        <v>3.5</v>
      </c>
      <c r="N189" s="1">
        <v>1163</v>
      </c>
      <c r="P189" s="31">
        <v>12.8</v>
      </c>
      <c r="Q189" s="1">
        <v>0</v>
      </c>
      <c r="R189" s="1">
        <v>0</v>
      </c>
      <c r="S189" s="1">
        <v>153</v>
      </c>
      <c r="T189" s="4">
        <f t="shared" ref="T189:T194" si="79">(X189*1.79+Y189*2.68+5.56*Z189+1.82*AA189+50000*(10^-L189)-R189)</f>
        <v>151.74466276777946</v>
      </c>
      <c r="U189" s="1"/>
      <c r="V189" s="1"/>
      <c r="W189" s="1">
        <v>28.702000000000002</v>
      </c>
      <c r="X189" s="1">
        <v>26.256</v>
      </c>
      <c r="Y189" s="4">
        <f t="shared" si="78"/>
        <v>2.4460000000000015</v>
      </c>
      <c r="Z189" s="1">
        <v>11.487</v>
      </c>
      <c r="AA189" s="1">
        <v>2.6819999999999999</v>
      </c>
      <c r="AB189" s="1">
        <v>534.4</v>
      </c>
      <c r="AC189" s="1"/>
      <c r="AD189" s="1"/>
      <c r="AE189" s="1"/>
      <c r="AF189" s="1"/>
      <c r="AG189" s="1"/>
      <c r="AH189" s="1"/>
      <c r="AI189" s="1"/>
      <c r="AJ189" s="1"/>
      <c r="AK189" s="1" t="s">
        <v>363</v>
      </c>
      <c r="AL189" s="1">
        <v>838</v>
      </c>
      <c r="AM189" s="1"/>
    </row>
    <row r="190" spans="1:50" x14ac:dyDescent="0.3">
      <c r="A190" s="5">
        <v>45442</v>
      </c>
      <c r="B190" s="12" t="s">
        <v>46</v>
      </c>
      <c r="C190" t="s">
        <v>319</v>
      </c>
      <c r="E190" t="s">
        <v>320</v>
      </c>
      <c r="H190" t="s">
        <v>245</v>
      </c>
      <c r="L190" s="43">
        <v>3.22</v>
      </c>
      <c r="M190" s="43">
        <v>3.6</v>
      </c>
      <c r="N190" s="1">
        <v>1175</v>
      </c>
      <c r="P190" s="31">
        <v>12.8</v>
      </c>
      <c r="Q190" s="1">
        <v>0</v>
      </c>
      <c r="R190" s="1">
        <v>0</v>
      </c>
      <c r="S190" s="1">
        <v>155.4</v>
      </c>
      <c r="T190" s="4">
        <f t="shared" si="79"/>
        <v>162.18184930371785</v>
      </c>
      <c r="U190" s="1"/>
      <c r="V190" s="1"/>
      <c r="W190" s="1">
        <v>39.866999999999997</v>
      </c>
      <c r="X190" s="1">
        <v>37.256999999999998</v>
      </c>
      <c r="Y190" s="4">
        <f t="shared" si="78"/>
        <v>2.6099999999999994</v>
      </c>
      <c r="Z190" s="1">
        <v>9.7170000000000005</v>
      </c>
      <c r="AA190" s="1">
        <v>2.3860000000000001</v>
      </c>
      <c r="AB190" s="1">
        <v>507</v>
      </c>
      <c r="AC190" s="1"/>
      <c r="AD190" s="1"/>
      <c r="AE190" s="1"/>
      <c r="AF190" s="1"/>
      <c r="AG190" s="1"/>
      <c r="AH190" s="1"/>
      <c r="AI190" s="1"/>
      <c r="AJ190" s="1"/>
      <c r="AK190" s="1" t="s">
        <v>363</v>
      </c>
      <c r="AL190" s="1">
        <v>910</v>
      </c>
      <c r="AM190" s="1"/>
    </row>
    <row r="191" spans="1:50" x14ac:dyDescent="0.3">
      <c r="A191" s="5">
        <v>45483</v>
      </c>
      <c r="B191" s="12" t="s">
        <v>46</v>
      </c>
      <c r="C191" t="s">
        <v>319</v>
      </c>
      <c r="E191" t="s">
        <v>320</v>
      </c>
      <c r="H191" t="s">
        <v>245</v>
      </c>
      <c r="L191" s="43">
        <v>3.88</v>
      </c>
      <c r="M191" s="43">
        <v>3</v>
      </c>
      <c r="N191" s="1">
        <v>1085</v>
      </c>
      <c r="P191" s="31">
        <v>13</v>
      </c>
      <c r="Q191" s="1">
        <v>0</v>
      </c>
      <c r="R191" s="1">
        <v>0</v>
      </c>
      <c r="S191" s="1">
        <v>193</v>
      </c>
      <c r="T191" s="4">
        <f t="shared" si="79"/>
        <v>196.39436369278206</v>
      </c>
      <c r="U191" s="1"/>
      <c r="V191" s="1"/>
      <c r="W191" s="1">
        <v>57.597999999999999</v>
      </c>
      <c r="X191" s="1">
        <v>44.692</v>
      </c>
      <c r="Y191" s="4">
        <f t="shared" si="78"/>
        <v>12.905999999999999</v>
      </c>
      <c r="Z191" s="1">
        <v>12.77</v>
      </c>
      <c r="AA191" s="1">
        <v>2.3159999999999998</v>
      </c>
      <c r="AB191" s="1">
        <v>525.4</v>
      </c>
      <c r="AC191" s="1"/>
      <c r="AD191" s="1"/>
      <c r="AE191" s="1"/>
      <c r="AF191" s="1"/>
      <c r="AG191" s="1"/>
      <c r="AH191" s="1"/>
      <c r="AI191" s="1"/>
      <c r="AJ191" s="1"/>
      <c r="AK191" s="1" t="s">
        <v>363</v>
      </c>
      <c r="AL191" s="1">
        <v>932</v>
      </c>
      <c r="AM191" s="1"/>
    </row>
    <row r="192" spans="1:50" x14ac:dyDescent="0.3">
      <c r="A192" s="5">
        <v>45527</v>
      </c>
      <c r="B192" s="12" t="s">
        <v>60</v>
      </c>
      <c r="C192" t="s">
        <v>319</v>
      </c>
      <c r="E192" t="s">
        <v>320</v>
      </c>
      <c r="H192" t="s">
        <v>245</v>
      </c>
      <c r="J192" s="1">
        <v>119</v>
      </c>
      <c r="K192" t="s">
        <v>106</v>
      </c>
      <c r="L192" s="43">
        <v>4</v>
      </c>
      <c r="M192" s="2">
        <v>3.1</v>
      </c>
      <c r="N192" s="1">
        <v>1083</v>
      </c>
      <c r="Q192" s="1">
        <v>0</v>
      </c>
      <c r="R192" s="4">
        <v>0</v>
      </c>
      <c r="S192" s="4">
        <v>164.2</v>
      </c>
      <c r="T192" s="4" cm="1">
        <f t="array" ref="T192">_xlfn.IFS(L192&lt;=5,IF(ISNUMBER(W192)=TRUE,W192*1.79+AA192*1.8+Z192*5.56+50000*(10^-L192)-R192,1.79+AA192*1.8+Z192*5.56+50000*(10^-L192)-R192),L192&gt;5,IF(ISNUMBER(W192)=TRUE,W192*1.79+AA192*1.8+50000*(10^-L192)-R192,AA192*1.8+50000*(10^-L192)-R192))</f>
        <v>156.00994</v>
      </c>
      <c r="W192" s="4">
        <v>46.29</v>
      </c>
      <c r="X192" s="4"/>
      <c r="Y192" s="4"/>
      <c r="Z192" s="4">
        <v>11.414</v>
      </c>
      <c r="AA192" s="4">
        <v>2.605</v>
      </c>
      <c r="AB192" s="4">
        <v>558.79999999999995</v>
      </c>
      <c r="AC192" s="1"/>
      <c r="AD192" s="1"/>
      <c r="AE192" s="1"/>
      <c r="AF192" s="1"/>
      <c r="AG192" s="1"/>
      <c r="AH192" s="1"/>
      <c r="AI192" s="1"/>
      <c r="AJ192" s="1"/>
      <c r="AK192" s="1" t="s">
        <v>363</v>
      </c>
      <c r="AL192" s="1">
        <v>908</v>
      </c>
      <c r="AM192" s="1"/>
    </row>
    <row r="193" spans="1:50" x14ac:dyDescent="0.3">
      <c r="A193" s="5">
        <v>45547</v>
      </c>
      <c r="C193" t="s">
        <v>319</v>
      </c>
      <c r="E193" t="s">
        <v>320</v>
      </c>
      <c r="H193" t="s">
        <v>245</v>
      </c>
      <c r="L193" s="43">
        <v>3.47</v>
      </c>
      <c r="M193" s="43">
        <v>3.8</v>
      </c>
      <c r="N193" s="1">
        <v>1168</v>
      </c>
      <c r="P193" s="31">
        <v>14.6</v>
      </c>
      <c r="Q193" s="1">
        <v>0</v>
      </c>
      <c r="R193" s="1">
        <v>0</v>
      </c>
      <c r="S193" s="1">
        <v>197.64</v>
      </c>
      <c r="T193" s="4">
        <f t="shared" si="79"/>
        <v>180.37711780696011</v>
      </c>
      <c r="U193" s="1"/>
      <c r="V193" s="1"/>
      <c r="W193" s="1">
        <v>49.902000000000001</v>
      </c>
      <c r="X193" s="1">
        <v>43.890999999999998</v>
      </c>
      <c r="Y193" s="4">
        <f t="shared" si="78"/>
        <v>6.0110000000000028</v>
      </c>
      <c r="Z193" s="1">
        <v>11.53</v>
      </c>
      <c r="AA193" s="1">
        <v>2.5569999999999999</v>
      </c>
      <c r="AB193" s="1">
        <v>586.79999999999995</v>
      </c>
      <c r="AC193" s="1"/>
      <c r="AD193" s="1"/>
      <c r="AE193" s="1"/>
      <c r="AF193" s="1"/>
      <c r="AG193" s="1"/>
      <c r="AH193" s="1"/>
      <c r="AI193" s="1"/>
      <c r="AJ193" s="1"/>
      <c r="AK193" s="1" t="s">
        <v>363</v>
      </c>
      <c r="AL193" s="1">
        <v>952</v>
      </c>
      <c r="AM193" s="1"/>
    </row>
    <row r="194" spans="1:50" x14ac:dyDescent="0.3">
      <c r="A194" s="5">
        <v>45595</v>
      </c>
      <c r="B194" s="12" t="s">
        <v>52</v>
      </c>
      <c r="C194" t="s">
        <v>319</v>
      </c>
      <c r="E194" t="s">
        <v>320</v>
      </c>
      <c r="H194" t="s">
        <v>299</v>
      </c>
      <c r="J194" s="1">
        <v>189</v>
      </c>
      <c r="K194" t="s">
        <v>106</v>
      </c>
      <c r="L194" s="43">
        <v>4.1100000000000003</v>
      </c>
      <c r="M194" s="43">
        <v>3.7</v>
      </c>
      <c r="N194" s="1">
        <v>1123</v>
      </c>
      <c r="P194" s="31">
        <v>12.3</v>
      </c>
      <c r="Q194" s="1">
        <v>0</v>
      </c>
      <c r="R194" s="1">
        <v>0</v>
      </c>
      <c r="S194" s="1">
        <v>350</v>
      </c>
      <c r="T194" s="4">
        <f t="shared" si="79"/>
        <v>303.68189558314344</v>
      </c>
      <c r="U194" s="1"/>
      <c r="V194" s="1"/>
      <c r="W194" s="1">
        <v>84.93</v>
      </c>
      <c r="X194" s="1">
        <v>85.994</v>
      </c>
      <c r="Y194" s="4">
        <f t="shared" si="78"/>
        <v>0</v>
      </c>
      <c r="Z194" s="1">
        <v>25.463999999999999</v>
      </c>
      <c r="AA194" s="1">
        <v>2.3580000000000001</v>
      </c>
      <c r="AB194" s="1">
        <v>733.6</v>
      </c>
      <c r="AC194" s="1"/>
      <c r="AD194" s="1"/>
      <c r="AE194" s="1"/>
      <c r="AF194" s="1"/>
      <c r="AG194" s="1"/>
      <c r="AH194" s="1"/>
      <c r="AI194" s="1"/>
      <c r="AJ194" s="1"/>
      <c r="AK194" s="1" t="s">
        <v>363</v>
      </c>
      <c r="AL194" s="1">
        <v>1090</v>
      </c>
      <c r="AM194" s="1"/>
    </row>
    <row r="195" spans="1:50" x14ac:dyDescent="0.3">
      <c r="A195" s="5">
        <v>45617</v>
      </c>
      <c r="C195" t="s">
        <v>319</v>
      </c>
      <c r="E195" t="s">
        <v>320</v>
      </c>
      <c r="H195" t="s">
        <v>245</v>
      </c>
      <c r="J195" s="1" t="s">
        <v>378</v>
      </c>
      <c r="L195" s="43"/>
      <c r="M195" s="43"/>
      <c r="P195" s="31"/>
      <c r="Q195" s="1"/>
      <c r="R195" s="1"/>
      <c r="S195" s="1"/>
      <c r="U195" s="1"/>
      <c r="V195" s="1"/>
      <c r="W195" s="1"/>
      <c r="X195" s="1"/>
      <c r="Y195" s="1"/>
      <c r="Z195" s="1"/>
      <c r="AA195" s="1"/>
      <c r="AB195" s="1"/>
      <c r="AC195" s="1"/>
      <c r="AD195" s="1"/>
      <c r="AE195" s="1"/>
      <c r="AF195" s="1"/>
      <c r="AG195" s="1"/>
      <c r="AH195" s="1"/>
      <c r="AI195" s="1"/>
      <c r="AJ195" s="1"/>
      <c r="AK195" s="1"/>
      <c r="AL195" s="1"/>
      <c r="AM195" s="1"/>
    </row>
    <row r="196" spans="1:50" s="7" customFormat="1" x14ac:dyDescent="0.3">
      <c r="A196" s="45" t="s">
        <v>144</v>
      </c>
      <c r="B196" s="46"/>
      <c r="I196" s="15"/>
      <c r="J196" s="20"/>
      <c r="L196" s="20">
        <f t="shared" ref="L196:X196" si="80">AVERAGE(L187:L195)</f>
        <v>3.4624999999999999</v>
      </c>
      <c r="M196" s="20">
        <f t="shared" si="80"/>
        <v>3.3875000000000002</v>
      </c>
      <c r="N196" s="20">
        <f t="shared" si="80"/>
        <v>1158.125</v>
      </c>
      <c r="O196" s="20" t="e">
        <f t="shared" si="80"/>
        <v>#DIV/0!</v>
      </c>
      <c r="P196" s="20">
        <f t="shared" si="80"/>
        <v>12.485714285714284</v>
      </c>
      <c r="Q196" s="20">
        <f t="shared" si="80"/>
        <v>0</v>
      </c>
      <c r="R196" s="20">
        <f t="shared" si="80"/>
        <v>0</v>
      </c>
      <c r="S196" s="20">
        <f t="shared" si="80"/>
        <v>190.755</v>
      </c>
      <c r="T196" s="20">
        <f t="shared" si="80"/>
        <v>196.15109326837268</v>
      </c>
      <c r="U196" s="20" t="e">
        <f t="shared" si="80"/>
        <v>#DIV/0!</v>
      </c>
      <c r="V196" s="20" t="e">
        <f t="shared" si="80"/>
        <v>#DIV/0!</v>
      </c>
      <c r="W196" s="20">
        <f t="shared" si="80"/>
        <v>43.404499999999999</v>
      </c>
      <c r="X196" s="20">
        <f t="shared" si="80"/>
        <v>40.792333333333332</v>
      </c>
      <c r="Y196" s="20"/>
      <c r="Z196" s="20">
        <f>AVERAGE(Z187:Z195)</f>
        <v>13.235875</v>
      </c>
      <c r="AA196" s="20">
        <f>AVERAGE(AA187:AA195)</f>
        <v>2.5109999999999997</v>
      </c>
      <c r="AB196" s="20">
        <f>AVERAGE(AB187:AB195)</f>
        <v>563.95000000000005</v>
      </c>
      <c r="AC196" s="20"/>
      <c r="AD196" s="20"/>
      <c r="AE196" s="20"/>
      <c r="AF196" s="20"/>
      <c r="AG196" s="20"/>
      <c r="AH196" s="20"/>
      <c r="AI196" s="20"/>
      <c r="AJ196" s="20"/>
      <c r="AK196" s="20">
        <f>AVERAGE(AK187:AK195)</f>
        <v>40</v>
      </c>
      <c r="AL196" s="20">
        <f>AVERAGE(AL187:AL195)</f>
        <v>923</v>
      </c>
      <c r="AM196" s="20"/>
      <c r="AN196" s="20"/>
      <c r="AO196" s="20"/>
      <c r="AP196" s="20"/>
      <c r="AQ196" s="20"/>
      <c r="AR196" s="20"/>
      <c r="AS196" s="20"/>
      <c r="AT196" s="20"/>
      <c r="AU196" s="20"/>
      <c r="AV196" s="20"/>
      <c r="AW196" s="20"/>
      <c r="AX196" s="20"/>
    </row>
    <row r="198" spans="1:50" x14ac:dyDescent="0.3">
      <c r="A198" s="5">
        <v>44846</v>
      </c>
      <c r="B198" s="12" t="s">
        <v>67</v>
      </c>
      <c r="C198" t="s">
        <v>68</v>
      </c>
      <c r="E198" t="s">
        <v>69</v>
      </c>
      <c r="F198" s="11">
        <v>40.664969999999997</v>
      </c>
      <c r="G198" s="11">
        <v>-78.980220000000003</v>
      </c>
      <c r="H198" t="s">
        <v>93</v>
      </c>
      <c r="I198" s="2">
        <f>I171</f>
        <v>5.17</v>
      </c>
      <c r="J198" s="1">
        <v>4</v>
      </c>
      <c r="K198" t="s">
        <v>96</v>
      </c>
      <c r="L198" s="2">
        <v>2.7</v>
      </c>
      <c r="M198" s="2">
        <v>2.8</v>
      </c>
      <c r="N198" s="1">
        <v>1299</v>
      </c>
      <c r="O198" s="1">
        <v>1220</v>
      </c>
      <c r="P198" s="3">
        <v>12.4</v>
      </c>
      <c r="Q198" s="4">
        <v>0</v>
      </c>
      <c r="R198" s="4">
        <v>0</v>
      </c>
      <c r="S198" s="4">
        <v>240.8</v>
      </c>
      <c r="T198" s="4">
        <f t="shared" ref="T198:T199" si="81">(X198*1.79+Y198*2.68+5.56*Z198+1.82*AA198+50000*(10^-L198)-R198)</f>
        <v>233.88344574844388</v>
      </c>
      <c r="U198" s="2" t="s">
        <v>102</v>
      </c>
      <c r="V198" s="2" t="s">
        <v>102</v>
      </c>
      <c r="W198" s="3">
        <v>7.7969999999999997</v>
      </c>
      <c r="X198" s="3">
        <v>0.33100000000000002</v>
      </c>
      <c r="Y198" s="4">
        <f t="shared" ref="Y198:Y200" si="82">IF(W198-X198&lt;0,0,W198-X198)</f>
        <v>7.4659999999999993</v>
      </c>
      <c r="Z198" s="3">
        <v>19.93</v>
      </c>
      <c r="AA198" s="3">
        <v>1.488</v>
      </c>
      <c r="AB198" s="4">
        <v>558.95000000000005</v>
      </c>
      <c r="AC198" s="3">
        <v>81.48</v>
      </c>
      <c r="AD198" s="8">
        <v>28.75</v>
      </c>
      <c r="AE198" s="8">
        <v>3.87</v>
      </c>
      <c r="AF198" s="3">
        <v>2.34</v>
      </c>
      <c r="AG198" s="3">
        <v>4</v>
      </c>
      <c r="AH198" s="2">
        <v>0.15</v>
      </c>
      <c r="AI198" s="2">
        <v>0.27100000000000002</v>
      </c>
      <c r="AJ198" s="3" t="s">
        <v>159</v>
      </c>
      <c r="AN198" s="1">
        <f>S198*J198*0.012</f>
        <v>11.558400000000001</v>
      </c>
      <c r="AO198" s="1">
        <f>W198*J198*0.012</f>
        <v>0.37425599999999998</v>
      </c>
      <c r="AP198" s="1">
        <f>Z198*J198*0.012</f>
        <v>0.95664000000000005</v>
      </c>
      <c r="AQ198" s="1">
        <f>AA198*J198*0.012</f>
        <v>7.1424000000000001E-2</v>
      </c>
      <c r="AR198" s="1">
        <f>AB198*J198*0.012</f>
        <v>26.829600000000003</v>
      </c>
      <c r="AS198" s="1">
        <f t="shared" si="38"/>
        <v>0</v>
      </c>
      <c r="AT198" t="s">
        <v>104</v>
      </c>
      <c r="AU198" s="13" t="str">
        <f>CONCATENATE(TEXT(ROUNDDOWN(ABS(F198),0),"00"),"° ",TEXT(ROUNDDOWN(ABS((F198-ROUNDDOWN(F198,0))*60),0),"00"),"' ",TEXT(TRUNC((ABS((F198-ROUNDDOWN(F198,0))*60)-ROUNDDOWN(ABS((F198-ROUNDDOWN(F198,0))*60),0))*60,2),"00.00"),"""",IF(F198&lt;0," S"," N"))</f>
        <v>40° 39' 53.89" N</v>
      </c>
      <c r="AV198" s="13" t="str">
        <f>CONCATENATE(TEXT(ROUNDDOWN(ABS(G198),0),"000"),"° ",TEXT(ROUNDDOWN(ABS((G198-ROUNDDOWN(G198,0))*60),0),"00"),"' ",TEXT(TRUNC((ABS((G198-ROUNDDOWN(G198,0))*60)-ROUNDDOWN(ABS((G198-ROUNDDOWN(G198,0))*60),0))*60,2),"00.00"),"""",IF(G198&lt;0," W"," E"))</f>
        <v>078° 58' 48.79" W</v>
      </c>
    </row>
    <row r="199" spans="1:50" x14ac:dyDescent="0.3">
      <c r="A199" s="5">
        <v>44903</v>
      </c>
      <c r="B199" s="12" t="s">
        <v>67</v>
      </c>
      <c r="C199" t="s">
        <v>68</v>
      </c>
      <c r="E199" t="s">
        <v>69</v>
      </c>
      <c r="F199" s="11">
        <v>40.664969999999997</v>
      </c>
      <c r="G199" s="11">
        <v>-78.980220000000003</v>
      </c>
      <c r="H199" t="s">
        <v>154</v>
      </c>
      <c r="I199" s="2">
        <f>I198</f>
        <v>5.17</v>
      </c>
      <c r="J199" s="1">
        <v>6</v>
      </c>
      <c r="K199" t="s">
        <v>96</v>
      </c>
      <c r="L199" s="2">
        <v>3.92</v>
      </c>
      <c r="M199" s="2">
        <v>3</v>
      </c>
      <c r="N199" s="1">
        <v>1301</v>
      </c>
      <c r="O199" s="1">
        <v>1253</v>
      </c>
      <c r="R199" s="4">
        <v>0</v>
      </c>
      <c r="S199" s="4">
        <v>225.8</v>
      </c>
      <c r="T199" s="4">
        <f t="shared" si="81"/>
        <v>181.48136217308706</v>
      </c>
      <c r="W199" s="3">
        <v>49.2</v>
      </c>
      <c r="X199" s="3">
        <v>12.664</v>
      </c>
      <c r="Y199" s="4">
        <f t="shared" si="82"/>
        <v>36.536000000000001</v>
      </c>
      <c r="Z199" s="3">
        <v>9.2200000000000006</v>
      </c>
      <c r="AA199" s="3">
        <v>1.99</v>
      </c>
      <c r="AC199" s="3">
        <v>111</v>
      </c>
      <c r="AD199" s="8">
        <v>31.7</v>
      </c>
      <c r="AE199" s="8">
        <v>6.64</v>
      </c>
      <c r="AF199" s="3">
        <v>4.13</v>
      </c>
      <c r="AG199" s="3">
        <v>4</v>
      </c>
      <c r="AH199" s="2">
        <v>0.129</v>
      </c>
      <c r="AI199" s="2">
        <v>0.20799999999999999</v>
      </c>
      <c r="AJ199" s="3" t="s">
        <v>159</v>
      </c>
      <c r="AN199" s="1">
        <f>S199*J199*0.012</f>
        <v>16.257600000000004</v>
      </c>
      <c r="AO199" s="1">
        <f>W199*J199*0.012</f>
        <v>3.5424000000000007</v>
      </c>
      <c r="AP199" s="1">
        <f>Z199*J199*0.012</f>
        <v>0.6638400000000001</v>
      </c>
      <c r="AQ199" s="1">
        <f>AA199*J199*0.012</f>
        <v>0.14327999999999999</v>
      </c>
      <c r="AR199" s="1">
        <f>AB199*J199*0.012</f>
        <v>0</v>
      </c>
      <c r="AS199" s="1">
        <f t="shared" si="38"/>
        <v>0</v>
      </c>
      <c r="AU199" s="13"/>
      <c r="AV199" s="13"/>
    </row>
    <row r="200" spans="1:50" x14ac:dyDescent="0.3">
      <c r="A200" s="5">
        <v>45022</v>
      </c>
      <c r="B200" s="12" t="s">
        <v>67</v>
      </c>
      <c r="C200" t="s">
        <v>68</v>
      </c>
      <c r="E200" t="s">
        <v>69</v>
      </c>
      <c r="F200" s="11">
        <v>40.664969999999997</v>
      </c>
      <c r="G200" s="11">
        <v>-78.980220000000003</v>
      </c>
      <c r="H200" t="s">
        <v>245</v>
      </c>
      <c r="J200" s="1">
        <v>21</v>
      </c>
      <c r="K200" t="s">
        <v>96</v>
      </c>
      <c r="L200" s="2">
        <v>2.74</v>
      </c>
      <c r="M200" s="2">
        <v>2.8</v>
      </c>
      <c r="N200" s="1">
        <v>1227</v>
      </c>
      <c r="O200" s="1">
        <v>1216</v>
      </c>
      <c r="Q200" s="4">
        <v>0</v>
      </c>
      <c r="R200" s="4">
        <v>0</v>
      </c>
      <c r="S200" s="4">
        <v>233.8</v>
      </c>
      <c r="T200" s="4">
        <f>(X200*1.79+Y200*2.68+5.56*Z200+1.82*AA200+50000*(10^-L200)-R200)</f>
        <v>212.28027293049905</v>
      </c>
      <c r="W200" s="3">
        <v>8.33</v>
      </c>
      <c r="X200" s="3">
        <v>0.41299999999999998</v>
      </c>
      <c r="Y200" s="4">
        <f t="shared" si="82"/>
        <v>7.9169999999999998</v>
      </c>
      <c r="Z200" s="3">
        <v>17.5</v>
      </c>
      <c r="AA200" s="3">
        <v>1.1200000000000001</v>
      </c>
      <c r="AB200" s="4">
        <v>517.1</v>
      </c>
      <c r="AC200" s="3">
        <v>75.599999999999994</v>
      </c>
      <c r="AD200" s="8">
        <v>27</v>
      </c>
      <c r="AE200" s="8">
        <v>3.2</v>
      </c>
      <c r="AF200" s="3">
        <v>1.99</v>
      </c>
      <c r="AG200" s="3">
        <v>4</v>
      </c>
      <c r="AH200" s="2">
        <v>0.13</v>
      </c>
      <c r="AI200" s="2">
        <v>0.23100000000000001</v>
      </c>
      <c r="AJ200" s="3" t="s">
        <v>159</v>
      </c>
      <c r="AN200" s="1">
        <f>S200*J200*0.012</f>
        <v>58.9176</v>
      </c>
      <c r="AO200" s="1">
        <f>W200*J200*0.012</f>
        <v>2.0991599999999999</v>
      </c>
      <c r="AP200" s="1">
        <f>Z200*J200*0.012</f>
        <v>4.41</v>
      </c>
      <c r="AQ200" s="1">
        <f>AA200*J200*0.012</f>
        <v>0.28224000000000005</v>
      </c>
      <c r="AR200" s="1">
        <f>AB200*J200*0.012</f>
        <v>130.3092</v>
      </c>
      <c r="AS200" s="1">
        <f t="shared" si="38"/>
        <v>0</v>
      </c>
      <c r="AU200" s="13"/>
      <c r="AV200" s="13"/>
    </row>
    <row r="201" spans="1:50" s="7" customFormat="1" x14ac:dyDescent="0.3">
      <c r="A201" s="45" t="s">
        <v>144</v>
      </c>
      <c r="B201" s="46"/>
      <c r="F201" s="47"/>
      <c r="G201" s="47"/>
      <c r="I201" s="15"/>
      <c r="J201" s="20">
        <f>AVERAGE(J198:J200)</f>
        <v>10.333333333333334</v>
      </c>
      <c r="L201" s="20">
        <f t="shared" ref="L201:AS201" si="83">AVERAGE(L198:L200)</f>
        <v>3.1199999999999997</v>
      </c>
      <c r="M201" s="20">
        <f t="shared" si="83"/>
        <v>2.8666666666666667</v>
      </c>
      <c r="N201" s="20">
        <f t="shared" si="83"/>
        <v>1275.6666666666667</v>
      </c>
      <c r="O201" s="20">
        <f t="shared" si="83"/>
        <v>1229.6666666666667</v>
      </c>
      <c r="P201" s="20">
        <f t="shared" si="83"/>
        <v>12.4</v>
      </c>
      <c r="Q201" s="20">
        <f t="shared" si="83"/>
        <v>0</v>
      </c>
      <c r="R201" s="20">
        <f t="shared" si="83"/>
        <v>0</v>
      </c>
      <c r="S201" s="20">
        <f t="shared" si="83"/>
        <v>233.4666666666667</v>
      </c>
      <c r="T201" s="20">
        <f t="shared" si="83"/>
        <v>209.21502695067667</v>
      </c>
      <c r="U201" s="20" t="e">
        <f t="shared" si="83"/>
        <v>#DIV/0!</v>
      </c>
      <c r="V201" s="20" t="e">
        <f t="shared" si="83"/>
        <v>#DIV/0!</v>
      </c>
      <c r="W201" s="20">
        <f t="shared" si="83"/>
        <v>21.775666666666666</v>
      </c>
      <c r="X201" s="20">
        <f t="shared" si="83"/>
        <v>4.4693333333333332</v>
      </c>
      <c r="Y201" s="20"/>
      <c r="Z201" s="20">
        <f t="shared" si="83"/>
        <v>15.549999999999999</v>
      </c>
      <c r="AA201" s="20">
        <f t="shared" si="83"/>
        <v>1.5326666666666666</v>
      </c>
      <c r="AB201" s="20">
        <f t="shared" si="83"/>
        <v>538.02500000000009</v>
      </c>
      <c r="AC201" s="20">
        <f t="shared" si="83"/>
        <v>89.360000000000014</v>
      </c>
      <c r="AD201" s="20">
        <f t="shared" si="83"/>
        <v>29.150000000000002</v>
      </c>
      <c r="AE201" s="20">
        <f t="shared" si="83"/>
        <v>4.57</v>
      </c>
      <c r="AF201" s="20">
        <f t="shared" si="83"/>
        <v>2.82</v>
      </c>
      <c r="AG201" s="20">
        <f t="shared" si="83"/>
        <v>4</v>
      </c>
      <c r="AH201" s="20">
        <f t="shared" si="83"/>
        <v>0.13633333333333333</v>
      </c>
      <c r="AI201" s="20">
        <f t="shared" si="83"/>
        <v>0.23666666666666666</v>
      </c>
      <c r="AJ201" s="20" t="e">
        <f t="shared" si="83"/>
        <v>#DIV/0!</v>
      </c>
      <c r="AK201" s="20"/>
      <c r="AL201" s="20"/>
      <c r="AM201" s="20"/>
      <c r="AN201" s="20">
        <f t="shared" si="83"/>
        <v>28.911199999999997</v>
      </c>
      <c r="AO201" s="20">
        <f t="shared" si="83"/>
        <v>2.0052720000000002</v>
      </c>
      <c r="AP201" s="20">
        <f t="shared" si="83"/>
        <v>2.0101600000000004</v>
      </c>
      <c r="AQ201" s="20">
        <f t="shared" si="83"/>
        <v>0.16564800000000002</v>
      </c>
      <c r="AR201" s="20">
        <f t="shared" si="83"/>
        <v>52.379600000000003</v>
      </c>
      <c r="AS201" s="20">
        <f t="shared" si="83"/>
        <v>0</v>
      </c>
      <c r="AT201" s="20"/>
      <c r="AU201" s="20"/>
      <c r="AV201" s="20"/>
      <c r="AW201" s="20"/>
      <c r="AX201" s="20"/>
    </row>
    <row r="202" spans="1:50" s="7" customFormat="1" x14ac:dyDescent="0.3">
      <c r="A202" s="45"/>
      <c r="B202" s="46"/>
      <c r="F202" s="47"/>
      <c r="G202" s="47"/>
      <c r="I202" s="15"/>
      <c r="J202" s="20"/>
      <c r="L202" s="20"/>
      <c r="M202" s="20"/>
      <c r="N202" s="20"/>
      <c r="O202" s="20"/>
      <c r="P202" s="20"/>
      <c r="Q202" s="20"/>
      <c r="R202" s="20"/>
      <c r="S202" s="20"/>
      <c r="T202" s="20"/>
      <c r="U202" s="20"/>
      <c r="V202" s="20"/>
      <c r="W202" s="20"/>
      <c r="X202" s="20"/>
      <c r="Y202" s="20"/>
      <c r="Z202" s="20"/>
      <c r="AA202" s="20"/>
      <c r="AB202" s="20"/>
      <c r="AC202" s="20"/>
      <c r="AD202" s="20"/>
      <c r="AE202" s="20"/>
      <c r="AF202" s="20"/>
      <c r="AG202" s="20"/>
      <c r="AH202" s="20"/>
      <c r="AI202" s="20"/>
      <c r="AJ202" s="20"/>
      <c r="AK202" s="20"/>
      <c r="AL202" s="20"/>
      <c r="AM202" s="20"/>
      <c r="AN202" s="20"/>
      <c r="AO202" s="20"/>
      <c r="AP202" s="20"/>
      <c r="AQ202" s="20"/>
      <c r="AR202" s="20"/>
      <c r="AS202" s="1"/>
      <c r="AU202" s="48"/>
      <c r="AV202" s="48"/>
    </row>
    <row r="203" spans="1:50" x14ac:dyDescent="0.3">
      <c r="A203" s="5">
        <v>45345</v>
      </c>
      <c r="C203" t="s">
        <v>321</v>
      </c>
      <c r="E203" t="s">
        <v>322</v>
      </c>
      <c r="F203" s="11"/>
      <c r="G203" s="11"/>
      <c r="H203" t="s">
        <v>245</v>
      </c>
      <c r="L203" s="43">
        <v>5.99</v>
      </c>
      <c r="M203" s="43"/>
      <c r="N203" s="1">
        <v>38</v>
      </c>
      <c r="P203" s="31">
        <v>5.2</v>
      </c>
      <c r="Q203" s="1"/>
      <c r="R203" s="1"/>
      <c r="S203" s="1"/>
      <c r="T203" s="1"/>
      <c r="U203" s="1"/>
      <c r="V203" s="1"/>
      <c r="W203" s="1"/>
      <c r="X203" s="1"/>
      <c r="Y203" s="1"/>
      <c r="Z203" s="1"/>
      <c r="AA203" s="1"/>
      <c r="AB203" s="1"/>
      <c r="AC203" s="1"/>
      <c r="AD203" s="1"/>
      <c r="AE203" s="1"/>
      <c r="AF203" s="1"/>
      <c r="AG203" s="1"/>
      <c r="AH203" s="1"/>
      <c r="AI203" s="1"/>
      <c r="AJ203" s="1"/>
      <c r="AK203" s="1"/>
      <c r="AL203" s="1"/>
      <c r="AM203" s="1"/>
      <c r="AU203" s="13"/>
      <c r="AV203" s="13"/>
    </row>
    <row r="204" spans="1:50" x14ac:dyDescent="0.3">
      <c r="F204" s="11"/>
      <c r="G204" s="11"/>
      <c r="L204" s="43"/>
      <c r="M204" s="43"/>
      <c r="P204" s="31"/>
      <c r="Q204" s="1"/>
      <c r="R204" s="1"/>
      <c r="S204" s="1"/>
      <c r="T204" s="1"/>
      <c r="U204" s="1"/>
      <c r="V204" s="1"/>
      <c r="W204" s="1"/>
      <c r="X204" s="1"/>
      <c r="Y204" s="1"/>
      <c r="Z204" s="1"/>
      <c r="AA204" s="1"/>
      <c r="AB204" s="1"/>
      <c r="AC204" s="1"/>
      <c r="AD204" s="1"/>
      <c r="AE204" s="1"/>
      <c r="AF204" s="1"/>
      <c r="AG204" s="1"/>
      <c r="AH204" s="1"/>
      <c r="AI204" s="1"/>
      <c r="AJ204" s="1"/>
      <c r="AK204" s="1"/>
      <c r="AL204" s="1"/>
      <c r="AM204" s="1"/>
      <c r="AU204" s="13"/>
      <c r="AV204" s="13"/>
    </row>
    <row r="205" spans="1:50" x14ac:dyDescent="0.3">
      <c r="A205" s="5">
        <v>45345</v>
      </c>
      <c r="C205" t="s">
        <v>323</v>
      </c>
      <c r="E205" t="s">
        <v>324</v>
      </c>
      <c r="F205" s="11"/>
      <c r="G205" s="11"/>
      <c r="H205" t="s">
        <v>245</v>
      </c>
      <c r="L205" s="43">
        <v>6.06</v>
      </c>
      <c r="M205" s="43"/>
      <c r="N205" s="1">
        <v>75</v>
      </c>
      <c r="P205" s="31">
        <v>6</v>
      </c>
      <c r="Q205" s="1"/>
      <c r="R205" s="1"/>
      <c r="S205" s="1"/>
      <c r="T205" s="1"/>
      <c r="U205" s="1"/>
      <c r="V205" s="1"/>
      <c r="W205" s="1"/>
      <c r="X205" s="1"/>
      <c r="Y205" s="1"/>
      <c r="Z205" s="1"/>
      <c r="AA205" s="1"/>
      <c r="AB205" s="1"/>
      <c r="AC205" s="1"/>
      <c r="AD205" s="1"/>
      <c r="AE205" s="1"/>
      <c r="AF205" s="1"/>
      <c r="AG205" s="1"/>
      <c r="AH205" s="1"/>
      <c r="AI205" s="1"/>
      <c r="AJ205" s="1"/>
      <c r="AK205" s="1"/>
      <c r="AL205" s="1"/>
      <c r="AM205" s="1"/>
      <c r="AU205" s="13"/>
      <c r="AV205" s="13"/>
    </row>
    <row r="206" spans="1:50" x14ac:dyDescent="0.3">
      <c r="F206" s="11"/>
      <c r="G206" s="11"/>
      <c r="L206" s="43"/>
      <c r="M206" s="43"/>
      <c r="P206" s="31"/>
      <c r="Q206" s="1"/>
      <c r="R206" s="1"/>
      <c r="S206" s="1"/>
      <c r="T206" s="1"/>
      <c r="U206" s="1"/>
      <c r="V206" s="1"/>
      <c r="W206" s="1"/>
      <c r="X206" s="1"/>
      <c r="Y206" s="1"/>
      <c r="Z206" s="1"/>
      <c r="AA206" s="1"/>
      <c r="AB206" s="1"/>
      <c r="AC206" s="1"/>
      <c r="AD206" s="1"/>
      <c r="AE206" s="1"/>
      <c r="AF206" s="1"/>
      <c r="AG206" s="1"/>
      <c r="AH206" s="1"/>
      <c r="AI206" s="1"/>
      <c r="AJ206" s="1"/>
      <c r="AK206" s="1"/>
      <c r="AL206" s="1"/>
      <c r="AM206" s="1"/>
      <c r="AU206" s="13"/>
      <c r="AV206" s="13"/>
    </row>
    <row r="207" spans="1:50" x14ac:dyDescent="0.3">
      <c r="A207" s="5">
        <v>45345</v>
      </c>
      <c r="C207" t="s">
        <v>325</v>
      </c>
      <c r="E207" t="s">
        <v>326</v>
      </c>
      <c r="F207" s="11"/>
      <c r="G207" s="11"/>
      <c r="H207" t="s">
        <v>245</v>
      </c>
      <c r="L207" s="43">
        <v>5.93</v>
      </c>
      <c r="M207" s="43"/>
      <c r="N207" s="1">
        <v>209</v>
      </c>
      <c r="P207" s="31">
        <v>3.8</v>
      </c>
      <c r="Q207" s="1"/>
      <c r="R207" s="1"/>
      <c r="S207" s="1"/>
      <c r="T207" s="1"/>
      <c r="U207" s="1"/>
      <c r="V207" s="1"/>
      <c r="W207" s="1"/>
      <c r="X207" s="1"/>
      <c r="Y207" s="1"/>
      <c r="Z207" s="1"/>
      <c r="AA207" s="1"/>
      <c r="AB207" s="1"/>
      <c r="AC207" s="1"/>
      <c r="AD207" s="1"/>
      <c r="AE207" s="1"/>
      <c r="AF207" s="1"/>
      <c r="AG207" s="1"/>
      <c r="AH207" s="1"/>
      <c r="AI207" s="1"/>
      <c r="AJ207" s="1"/>
      <c r="AK207" s="1"/>
      <c r="AL207" s="1"/>
      <c r="AM207" s="1"/>
      <c r="AU207" s="13"/>
      <c r="AV207" s="13"/>
    </row>
    <row r="208" spans="1:50" x14ac:dyDescent="0.3">
      <c r="F208" s="11"/>
      <c r="G208" s="11"/>
      <c r="L208" s="43"/>
      <c r="M208" s="43"/>
      <c r="P208" s="31"/>
      <c r="Q208" s="1"/>
      <c r="R208" s="1"/>
      <c r="S208" s="1"/>
      <c r="T208" s="1"/>
      <c r="U208" s="1"/>
      <c r="V208" s="1"/>
      <c r="W208" s="1"/>
      <c r="X208" s="1"/>
      <c r="Y208" s="1"/>
      <c r="Z208" s="1"/>
      <c r="AA208" s="1"/>
      <c r="AB208" s="1"/>
      <c r="AC208" s="1"/>
      <c r="AD208" s="1"/>
      <c r="AE208" s="1"/>
      <c r="AF208" s="1"/>
      <c r="AG208" s="1"/>
      <c r="AH208" s="1"/>
      <c r="AI208" s="1"/>
      <c r="AJ208" s="1"/>
      <c r="AK208" s="1"/>
      <c r="AL208" s="1"/>
      <c r="AM208" s="1"/>
      <c r="AU208" s="13"/>
      <c r="AV208" s="13"/>
    </row>
    <row r="209" spans="1:48" x14ac:dyDescent="0.3">
      <c r="A209" s="5">
        <v>45345</v>
      </c>
      <c r="C209" t="s">
        <v>327</v>
      </c>
      <c r="E209" t="s">
        <v>328</v>
      </c>
      <c r="F209" s="11"/>
      <c r="G209" s="11"/>
      <c r="H209" t="s">
        <v>245</v>
      </c>
      <c r="L209" s="43">
        <v>5.74</v>
      </c>
      <c r="M209" s="43"/>
      <c r="N209" s="1">
        <v>324</v>
      </c>
      <c r="P209" s="31">
        <v>3.8</v>
      </c>
      <c r="Q209" s="1"/>
      <c r="R209" s="1"/>
      <c r="S209" s="1"/>
      <c r="T209" s="1"/>
      <c r="U209" s="1"/>
      <c r="V209" s="1"/>
      <c r="W209" s="1"/>
      <c r="X209" s="1"/>
      <c r="Y209" s="1"/>
      <c r="Z209" s="1"/>
      <c r="AA209" s="1"/>
      <c r="AB209" s="1"/>
      <c r="AC209" s="1"/>
      <c r="AD209" s="1"/>
      <c r="AE209" s="1"/>
      <c r="AF209" s="1"/>
      <c r="AG209" s="1"/>
      <c r="AH209" s="1"/>
      <c r="AI209" s="1"/>
      <c r="AJ209" s="1"/>
      <c r="AK209" s="1"/>
      <c r="AL209" s="1"/>
      <c r="AM209" s="1"/>
      <c r="AU209" s="13"/>
      <c r="AV209" s="13"/>
    </row>
    <row r="210" spans="1:48" x14ac:dyDescent="0.3">
      <c r="F210" s="11"/>
      <c r="G210" s="11"/>
      <c r="L210" s="43"/>
      <c r="M210" s="43"/>
      <c r="P210" s="31"/>
      <c r="Q210" s="1"/>
      <c r="R210" s="1"/>
      <c r="S210" s="1"/>
      <c r="T210" s="1"/>
      <c r="U210" s="1"/>
      <c r="V210" s="1"/>
      <c r="W210" s="1"/>
      <c r="X210" s="1"/>
      <c r="Y210" s="1"/>
      <c r="Z210" s="1"/>
      <c r="AA210" s="1"/>
      <c r="AB210" s="1"/>
      <c r="AC210" s="1"/>
      <c r="AD210" s="1"/>
      <c r="AE210" s="1"/>
      <c r="AF210" s="1"/>
      <c r="AG210" s="1"/>
      <c r="AH210" s="1"/>
      <c r="AI210" s="1"/>
      <c r="AJ210" s="1"/>
      <c r="AK210" s="1"/>
      <c r="AL210" s="1"/>
      <c r="AM210" s="1"/>
      <c r="AU210" s="13"/>
      <c r="AV210" s="13"/>
    </row>
    <row r="211" spans="1:48" x14ac:dyDescent="0.3">
      <c r="A211" s="5">
        <v>45345</v>
      </c>
      <c r="C211" t="s">
        <v>329</v>
      </c>
      <c r="E211" t="s">
        <v>330</v>
      </c>
      <c r="F211" s="11"/>
      <c r="G211" s="11"/>
      <c r="H211" t="s">
        <v>245</v>
      </c>
      <c r="L211" s="43">
        <v>4.99</v>
      </c>
      <c r="M211" s="43"/>
      <c r="N211" s="1">
        <v>230</v>
      </c>
      <c r="P211" s="31">
        <v>3.8</v>
      </c>
      <c r="Q211" s="1"/>
      <c r="R211" s="1"/>
      <c r="S211" s="1"/>
      <c r="T211" s="1"/>
      <c r="U211" s="1"/>
      <c r="V211" s="1"/>
      <c r="W211" s="1"/>
      <c r="X211" s="1"/>
      <c r="Y211" s="1"/>
      <c r="Z211" s="1"/>
      <c r="AA211" s="1"/>
      <c r="AB211" s="1"/>
      <c r="AC211" s="1"/>
      <c r="AD211" s="1"/>
      <c r="AE211" s="1"/>
      <c r="AF211" s="1"/>
      <c r="AG211" s="1"/>
      <c r="AH211" s="1"/>
      <c r="AI211" s="1"/>
      <c r="AJ211" s="1"/>
      <c r="AK211" s="1"/>
      <c r="AL211" s="1"/>
      <c r="AM211" s="1"/>
      <c r="AU211" s="13"/>
      <c r="AV211" s="13"/>
    </row>
    <row r="212" spans="1:48" x14ac:dyDescent="0.3">
      <c r="F212" s="11"/>
      <c r="G212" s="11"/>
      <c r="L212" s="43"/>
      <c r="M212" s="43"/>
      <c r="P212" s="31"/>
      <c r="Q212" s="1"/>
      <c r="R212" s="1"/>
      <c r="S212" s="1"/>
      <c r="T212" s="1"/>
      <c r="U212" s="1"/>
      <c r="V212" s="1"/>
      <c r="W212" s="1"/>
      <c r="X212" s="1"/>
      <c r="Y212" s="1"/>
      <c r="Z212" s="1"/>
      <c r="AA212" s="1"/>
      <c r="AB212" s="1"/>
      <c r="AC212" s="1"/>
      <c r="AD212" s="1"/>
      <c r="AE212" s="1"/>
      <c r="AF212" s="1"/>
      <c r="AG212" s="1"/>
      <c r="AH212" s="1"/>
      <c r="AI212" s="1"/>
      <c r="AJ212" s="1"/>
      <c r="AK212" s="1"/>
      <c r="AM212" s="1"/>
      <c r="AU212" s="13"/>
      <c r="AV212" s="13"/>
    </row>
    <row r="213" spans="1:48" x14ac:dyDescent="0.3">
      <c r="A213" s="5">
        <v>45345</v>
      </c>
      <c r="B213" s="12" t="s">
        <v>40</v>
      </c>
      <c r="C213" t="s">
        <v>331</v>
      </c>
      <c r="E213" t="s">
        <v>332</v>
      </c>
      <c r="F213" s="11"/>
      <c r="G213" s="11"/>
      <c r="H213" t="s">
        <v>245</v>
      </c>
      <c r="J213" s="1">
        <f>26.1</f>
        <v>26.1</v>
      </c>
      <c r="K213" t="s">
        <v>96</v>
      </c>
      <c r="L213" s="43">
        <v>2.67</v>
      </c>
      <c r="M213" s="43">
        <v>2.9</v>
      </c>
      <c r="N213" s="1">
        <v>1266</v>
      </c>
      <c r="P213" s="31">
        <v>4.0999999999999996</v>
      </c>
      <c r="Q213" s="1">
        <v>0</v>
      </c>
      <c r="R213" s="1">
        <v>0</v>
      </c>
      <c r="S213" s="1">
        <v>293.60000000000002</v>
      </c>
      <c r="T213" s="4">
        <f>(X213*1.79+Y213*2.68+5.56*Z213+1.82*AA213+50000*(10^-L213)-R213)</f>
        <v>299.58151447511159</v>
      </c>
      <c r="U213" s="1"/>
      <c r="V213" s="1"/>
      <c r="W213" s="1">
        <v>16.260999999999999</v>
      </c>
      <c r="X213" s="1">
        <v>0.67100000000000004</v>
      </c>
      <c r="Y213" s="4">
        <f>IF(W213-X213&lt;0,0,W213-X213)</f>
        <v>15.59</v>
      </c>
      <c r="Z213" s="1">
        <v>26.524000000000001</v>
      </c>
      <c r="AA213" s="1">
        <v>1.224</v>
      </c>
      <c r="AB213" s="1">
        <v>464.2</v>
      </c>
      <c r="AC213" s="1"/>
      <c r="AD213" s="1"/>
      <c r="AE213" s="1"/>
      <c r="AF213" s="1"/>
      <c r="AG213" s="1"/>
      <c r="AH213" s="1"/>
      <c r="AI213" s="1"/>
      <c r="AJ213" s="1"/>
      <c r="AK213" s="1" t="s">
        <v>363</v>
      </c>
      <c r="AL213" s="1">
        <v>840</v>
      </c>
      <c r="AM213" s="1"/>
      <c r="AN213" s="1">
        <f t="shared" ref="AN213:AN218" si="84">S213*J213*0.012</f>
        <v>91.955520000000007</v>
      </c>
      <c r="AO213" s="1">
        <f t="shared" ref="AO213:AO218" si="85">W213*J213*0.012</f>
        <v>5.0929452</v>
      </c>
      <c r="AP213" s="1">
        <f t="shared" ref="AP213:AP218" si="86">Z213*J213*0.012</f>
        <v>8.3073168000000006</v>
      </c>
      <c r="AQ213" s="1">
        <f t="shared" ref="AQ213:AQ218" si="87">AA213*J213*0.012</f>
        <v>0.3833568</v>
      </c>
      <c r="AR213" s="1">
        <f t="shared" ref="AR213:AR218" si="88">AB213*J213*0.012</f>
        <v>145.38744000000003</v>
      </c>
      <c r="AS213" s="1">
        <f t="shared" si="38"/>
        <v>0</v>
      </c>
      <c r="AU213" s="13"/>
      <c r="AV213" s="13"/>
    </row>
    <row r="214" spans="1:48" x14ac:dyDescent="0.3">
      <c r="A214" s="5">
        <v>45366</v>
      </c>
      <c r="B214" s="12" t="s">
        <v>43</v>
      </c>
      <c r="C214" t="s">
        <v>331</v>
      </c>
      <c r="E214" t="s">
        <v>332</v>
      </c>
      <c r="F214" s="11">
        <v>40.66769</v>
      </c>
      <c r="G214" s="11">
        <v>-78.992400000000004</v>
      </c>
      <c r="H214" t="s">
        <v>245</v>
      </c>
      <c r="I214" s="2">
        <v>73</v>
      </c>
      <c r="J214" s="1">
        <v>7.1765676999999997</v>
      </c>
      <c r="K214" t="s">
        <v>96</v>
      </c>
      <c r="L214" s="83"/>
      <c r="M214" s="43">
        <v>2.7</v>
      </c>
      <c r="N214" s="1">
        <v>1817</v>
      </c>
      <c r="P214" s="31">
        <v>11.3</v>
      </c>
      <c r="Q214" s="1">
        <v>0</v>
      </c>
      <c r="R214" s="1">
        <v>0</v>
      </c>
      <c r="S214" s="1">
        <v>512.6</v>
      </c>
      <c r="T214" s="4">
        <f>(X214*1.79+Y214*2.68+5.56*Z214+1.82*AA214+50000*(10^-M214)-R214)</f>
        <v>473.02945574844392</v>
      </c>
      <c r="U214" s="1"/>
      <c r="V214" s="1"/>
      <c r="W214" s="1">
        <v>57.680999999999997</v>
      </c>
      <c r="X214" s="1">
        <v>5.3460000000000001</v>
      </c>
      <c r="Y214" s="4">
        <f t="shared" ref="Y214:Y224" si="89">IF(W214-X214&lt;0,0,W214-X214)</f>
        <v>52.334999999999994</v>
      </c>
      <c r="Z214" s="1">
        <v>39.744999999999997</v>
      </c>
      <c r="AA214" s="1">
        <v>1.35</v>
      </c>
      <c r="AB214" s="1">
        <v>748.1</v>
      </c>
      <c r="AC214" s="1"/>
      <c r="AD214" s="1"/>
      <c r="AE214" s="1"/>
      <c r="AF214" s="1"/>
      <c r="AG214" s="1"/>
      <c r="AH214" s="1"/>
      <c r="AI214" s="1"/>
      <c r="AJ214" s="1"/>
      <c r="AK214" s="1" t="s">
        <v>363</v>
      </c>
      <c r="AL214" s="1">
        <v>1254</v>
      </c>
      <c r="AM214" s="1"/>
      <c r="AN214" s="1">
        <f t="shared" si="84"/>
        <v>44.144503236239999</v>
      </c>
      <c r="AO214" s="1">
        <f t="shared" si="85"/>
        <v>4.9674192180443999</v>
      </c>
      <c r="AP214" s="1">
        <f t="shared" si="86"/>
        <v>3.4227921988379997</v>
      </c>
      <c r="AQ214" s="1">
        <f t="shared" si="87"/>
        <v>0.11626039674000001</v>
      </c>
      <c r="AR214" s="1">
        <f t="shared" si="88"/>
        <v>64.42548355644</v>
      </c>
      <c r="AS214" s="1">
        <f t="shared" si="38"/>
        <v>0</v>
      </c>
      <c r="AU214" s="13"/>
      <c r="AV214" s="13"/>
    </row>
    <row r="215" spans="1:48" x14ac:dyDescent="0.3">
      <c r="A215" s="5">
        <v>45392</v>
      </c>
      <c r="B215" s="12" t="s">
        <v>37</v>
      </c>
      <c r="C215" t="s">
        <v>331</v>
      </c>
      <c r="E215" t="s">
        <v>332</v>
      </c>
      <c r="F215" s="11"/>
      <c r="G215" s="11"/>
      <c r="H215" t="s">
        <v>245</v>
      </c>
      <c r="J215" s="1">
        <v>11.2</v>
      </c>
      <c r="K215" t="s">
        <v>96</v>
      </c>
      <c r="L215" s="93">
        <v>2.61</v>
      </c>
      <c r="M215" s="43">
        <v>2.7</v>
      </c>
      <c r="N215" s="1">
        <v>1938</v>
      </c>
      <c r="P215" s="31">
        <v>11.7</v>
      </c>
      <c r="Q215" s="1">
        <v>0</v>
      </c>
      <c r="R215" s="1">
        <v>0</v>
      </c>
      <c r="S215" s="1">
        <v>518.79999999999995</v>
      </c>
      <c r="T215" s="4">
        <f t="shared" ref="T215:T220" si="90">(X215*1.79+Y215*2.68+5.56*Z215+1.82*AA215+50000*(10^-L215)-R215)</f>
        <v>501.71189578425151</v>
      </c>
      <c r="U215" s="1"/>
      <c r="V215" s="1"/>
      <c r="W215" s="1">
        <v>58.042999999999999</v>
      </c>
      <c r="X215" s="1">
        <v>8.1809999999999992</v>
      </c>
      <c r="Y215" s="4">
        <f t="shared" si="89"/>
        <v>49.862000000000002</v>
      </c>
      <c r="Z215" s="1">
        <v>41.031999999999996</v>
      </c>
      <c r="AA215" s="1">
        <v>1.409</v>
      </c>
      <c r="AB215" s="1">
        <v>854.6</v>
      </c>
      <c r="AC215" s="1"/>
      <c r="AD215" s="1"/>
      <c r="AE215" s="1"/>
      <c r="AF215" s="1"/>
      <c r="AG215" s="1"/>
      <c r="AH215" s="1"/>
      <c r="AI215" s="1"/>
      <c r="AJ215" s="1"/>
      <c r="AK215" s="1" t="s">
        <v>363</v>
      </c>
      <c r="AL215" s="1">
        <v>1332</v>
      </c>
      <c r="AM215" s="1"/>
      <c r="AN215" s="1">
        <f t="shared" si="84"/>
        <v>69.72672</v>
      </c>
      <c r="AO215" s="1">
        <f t="shared" si="85"/>
        <v>7.8009791999999996</v>
      </c>
      <c r="AP215" s="1">
        <f t="shared" si="86"/>
        <v>5.5147007999999991</v>
      </c>
      <c r="AQ215" s="1">
        <f t="shared" si="87"/>
        <v>0.1893696</v>
      </c>
      <c r="AR215" s="1">
        <f t="shared" si="88"/>
        <v>114.85824000000001</v>
      </c>
      <c r="AS215" s="1">
        <f t="shared" si="38"/>
        <v>0</v>
      </c>
      <c r="AU215" s="13"/>
      <c r="AV215" s="13"/>
    </row>
    <row r="216" spans="1:48" x14ac:dyDescent="0.3">
      <c r="A216" s="5">
        <v>45442</v>
      </c>
      <c r="B216" s="12" t="s">
        <v>37</v>
      </c>
      <c r="C216" t="s">
        <v>331</v>
      </c>
      <c r="E216" t="s">
        <v>332</v>
      </c>
      <c r="F216" s="11">
        <v>40.66769</v>
      </c>
      <c r="G216" s="11">
        <v>-78.992400000000004</v>
      </c>
      <c r="H216" t="s">
        <v>245</v>
      </c>
      <c r="I216" s="2">
        <v>23</v>
      </c>
      <c r="J216" s="1">
        <v>6.49</v>
      </c>
      <c r="K216" t="s">
        <v>96</v>
      </c>
      <c r="L216" s="93">
        <v>2.7</v>
      </c>
      <c r="M216" s="43">
        <v>2.7</v>
      </c>
      <c r="N216" s="1">
        <v>1939</v>
      </c>
      <c r="P216" s="31">
        <v>12.4</v>
      </c>
      <c r="Q216" s="1">
        <v>0</v>
      </c>
      <c r="R216" s="1">
        <v>0</v>
      </c>
      <c r="S216" s="1">
        <v>588.6</v>
      </c>
      <c r="T216" s="4">
        <f t="shared" si="90"/>
        <v>494.94763574844393</v>
      </c>
      <c r="U216" s="1"/>
      <c r="V216" s="1"/>
      <c r="W216" s="1">
        <v>62.753</v>
      </c>
      <c r="X216" s="1">
        <v>20.106000000000002</v>
      </c>
      <c r="Y216" s="4">
        <f t="shared" si="89"/>
        <v>42.646999999999998</v>
      </c>
      <c r="Z216" s="1">
        <v>43.587000000000003</v>
      </c>
      <c r="AA216" s="1">
        <v>1.405</v>
      </c>
      <c r="AB216" s="1">
        <v>776.5</v>
      </c>
      <c r="AC216" s="1"/>
      <c r="AD216" s="1"/>
      <c r="AE216" s="1"/>
      <c r="AF216" s="1"/>
      <c r="AG216" s="1"/>
      <c r="AH216" s="1"/>
      <c r="AI216" s="1"/>
      <c r="AJ216" s="1"/>
      <c r="AK216" s="1" t="s">
        <v>363</v>
      </c>
      <c r="AL216" s="1">
        <v>1506</v>
      </c>
      <c r="AM216" s="1"/>
      <c r="AN216" s="1">
        <f t="shared" si="84"/>
        <v>45.840168000000006</v>
      </c>
      <c r="AO216" s="1">
        <f t="shared" si="85"/>
        <v>4.8872036400000001</v>
      </c>
      <c r="AP216" s="1">
        <f t="shared" si="86"/>
        <v>3.3945555600000001</v>
      </c>
      <c r="AQ216" s="1">
        <f t="shared" si="87"/>
        <v>0.10942140000000002</v>
      </c>
      <c r="AR216" s="1">
        <f t="shared" si="88"/>
        <v>60.473820000000011</v>
      </c>
      <c r="AS216" s="1">
        <f t="shared" ref="AS216:AS217" si="91">0.012*R216*J216</f>
        <v>0</v>
      </c>
      <c r="AU216" s="13"/>
      <c r="AV216" s="13"/>
    </row>
    <row r="217" spans="1:48" x14ac:dyDescent="0.3">
      <c r="A217" s="5">
        <v>45461</v>
      </c>
      <c r="B217" s="12" t="s">
        <v>34</v>
      </c>
      <c r="C217" t="s">
        <v>331</v>
      </c>
      <c r="E217" t="s">
        <v>332</v>
      </c>
      <c r="F217" s="11"/>
      <c r="G217" s="11"/>
      <c r="H217" t="s">
        <v>245</v>
      </c>
      <c r="I217" s="2">
        <v>42</v>
      </c>
      <c r="J217" s="1">
        <v>9.8916237000000002</v>
      </c>
      <c r="K217" t="s">
        <v>96</v>
      </c>
      <c r="L217" s="93">
        <v>2.15</v>
      </c>
      <c r="M217" s="43">
        <v>2.7</v>
      </c>
      <c r="N217" s="1">
        <v>2174</v>
      </c>
      <c r="P217" s="31">
        <v>12.6</v>
      </c>
      <c r="Q217" s="1">
        <v>0</v>
      </c>
      <c r="R217" s="1">
        <v>0</v>
      </c>
      <c r="S217" s="1">
        <v>583.20000000000005</v>
      </c>
      <c r="T217" s="4">
        <f t="shared" si="90"/>
        <v>719.8095321920689</v>
      </c>
      <c r="U217" s="1"/>
      <c r="V217" s="1"/>
      <c r="W217" s="1">
        <v>54.518000000000001</v>
      </c>
      <c r="X217" s="1">
        <v>20.186</v>
      </c>
      <c r="Y217" s="4">
        <f t="shared" si="89"/>
        <v>34.332000000000001</v>
      </c>
      <c r="Z217" s="1">
        <v>42.298000000000002</v>
      </c>
      <c r="AA217" s="1">
        <v>1.383</v>
      </c>
      <c r="AB217" s="1">
        <v>797.7</v>
      </c>
      <c r="AC217" s="1"/>
      <c r="AD217" s="1"/>
      <c r="AE217" s="1"/>
      <c r="AF217" s="1"/>
      <c r="AG217" s="1"/>
      <c r="AH217" s="1"/>
      <c r="AI217" s="1"/>
      <c r="AJ217" s="1"/>
      <c r="AK217" s="1" t="s">
        <v>363</v>
      </c>
      <c r="AL217" s="1">
        <v>1626</v>
      </c>
      <c r="AM217" s="1"/>
      <c r="AN217" s="1">
        <f t="shared" si="84"/>
        <v>69.225539302080008</v>
      </c>
      <c r="AO217" s="1">
        <f t="shared" si="85"/>
        <v>6.471258490519201</v>
      </c>
      <c r="AP217" s="1">
        <f t="shared" si="86"/>
        <v>5.0207507911512002</v>
      </c>
      <c r="AQ217" s="1">
        <f t="shared" si="87"/>
        <v>0.16416138692520002</v>
      </c>
      <c r="AR217" s="1">
        <f t="shared" si="88"/>
        <v>94.686578705880009</v>
      </c>
      <c r="AS217" s="1">
        <f t="shared" si="91"/>
        <v>0</v>
      </c>
      <c r="AU217" s="13"/>
      <c r="AV217" s="13"/>
    </row>
    <row r="218" spans="1:48" x14ac:dyDescent="0.3">
      <c r="A218" s="5">
        <v>45483</v>
      </c>
      <c r="B218" s="12" t="s">
        <v>34</v>
      </c>
      <c r="C218" t="s">
        <v>331</v>
      </c>
      <c r="E218" t="s">
        <v>332</v>
      </c>
      <c r="F218" s="11"/>
      <c r="G218" s="11"/>
      <c r="H218" t="s">
        <v>245</v>
      </c>
      <c r="I218" s="2">
        <v>32</v>
      </c>
      <c r="J218" s="1">
        <v>13.14</v>
      </c>
      <c r="K218" t="s">
        <v>96</v>
      </c>
      <c r="L218" s="93">
        <v>2.58</v>
      </c>
      <c r="M218" s="43">
        <v>2.7</v>
      </c>
      <c r="N218" s="1">
        <v>2128</v>
      </c>
      <c r="P218" s="31">
        <v>13.2</v>
      </c>
      <c r="Q218" s="1">
        <v>0</v>
      </c>
      <c r="R218" s="1">
        <v>0</v>
      </c>
      <c r="S218" s="1">
        <v>353.2</v>
      </c>
      <c r="T218" s="4">
        <f>(X218*1.79+Y218*2.68+5.56*Z218+1.82*AA218+50000*(10^-L218)-R218)</f>
        <v>495.428069594769</v>
      </c>
      <c r="U218" s="1"/>
      <c r="V218" s="1"/>
      <c r="W218" s="1">
        <v>54.518000000000001</v>
      </c>
      <c r="X218" s="1">
        <v>22.097000000000001</v>
      </c>
      <c r="Y218" s="4">
        <f t="shared" si="89"/>
        <v>32.420999999999999</v>
      </c>
      <c r="Z218" s="1">
        <v>42.252000000000002</v>
      </c>
      <c r="AA218" s="1">
        <v>1.4019999999999999</v>
      </c>
      <c r="AB218" s="1">
        <v>922.2</v>
      </c>
      <c r="AC218" s="1"/>
      <c r="AD218" s="1"/>
      <c r="AE218" s="1"/>
      <c r="AF218" s="1"/>
      <c r="AG218" s="1"/>
      <c r="AH218" s="1"/>
      <c r="AI218" s="1"/>
      <c r="AJ218" s="1"/>
      <c r="AK218" s="1" t="s">
        <v>363</v>
      </c>
      <c r="AL218" s="1">
        <v>1464</v>
      </c>
      <c r="AM218" s="1"/>
      <c r="AN218" s="1">
        <f t="shared" si="84"/>
        <v>55.692575999999995</v>
      </c>
      <c r="AO218" s="1">
        <f t="shared" si="85"/>
        <v>8.596398240000001</v>
      </c>
      <c r="AP218" s="1">
        <f t="shared" si="86"/>
        <v>6.6622953599999999</v>
      </c>
      <c r="AQ218" s="1">
        <f t="shared" si="87"/>
        <v>0.22106736000000002</v>
      </c>
      <c r="AR218" s="1">
        <f t="shared" si="88"/>
        <v>145.412496</v>
      </c>
      <c r="AS218" s="1">
        <f t="shared" ref="AS218" si="92">0.012*R218*J218</f>
        <v>0</v>
      </c>
      <c r="AU218" s="13"/>
      <c r="AV218" s="13"/>
    </row>
    <row r="219" spans="1:48" x14ac:dyDescent="0.3">
      <c r="A219" s="5">
        <v>45527</v>
      </c>
      <c r="B219" s="12" t="s">
        <v>52</v>
      </c>
      <c r="C219" t="s">
        <v>331</v>
      </c>
      <c r="E219" t="s">
        <v>332</v>
      </c>
      <c r="F219" s="11"/>
      <c r="G219" s="11"/>
      <c r="H219" t="s">
        <v>245</v>
      </c>
      <c r="J219" s="9">
        <v>19</v>
      </c>
      <c r="K219" t="s">
        <v>106</v>
      </c>
      <c r="L219" s="83">
        <v>5.18</v>
      </c>
      <c r="M219" s="43">
        <v>2.7</v>
      </c>
      <c r="N219" s="1">
        <v>2039</v>
      </c>
      <c r="P219" s="31"/>
      <c r="Q219" s="1">
        <v>0</v>
      </c>
      <c r="R219" s="1">
        <v>0</v>
      </c>
      <c r="S219" s="1">
        <v>657.8</v>
      </c>
      <c r="T219" s="4">
        <f>(X219*1.79+Y219*2.68+5.56*Z219+1.82*AA219+50000*(10^-M219)-R219)</f>
        <v>948.6833457484438</v>
      </c>
      <c r="U219" s="1"/>
      <c r="V219" s="1"/>
      <c r="W219" s="9">
        <v>225.62299999999999</v>
      </c>
      <c r="X219" s="1">
        <v>34.487000000000002</v>
      </c>
      <c r="Y219" s="4">
        <f t="shared" si="89"/>
        <v>191.136</v>
      </c>
      <c r="Z219" s="1">
        <v>48.905999999999999</v>
      </c>
      <c r="AA219" s="1">
        <v>1.663</v>
      </c>
      <c r="AB219" s="1">
        <v>986.8</v>
      </c>
      <c r="AC219" s="1"/>
      <c r="AD219" s="1"/>
      <c r="AE219" s="1"/>
      <c r="AF219" s="1"/>
      <c r="AG219" s="1"/>
      <c r="AH219" s="1"/>
      <c r="AI219" s="1"/>
      <c r="AJ219" s="1"/>
      <c r="AK219" s="1" t="s">
        <v>363</v>
      </c>
      <c r="AL219" s="1">
        <v>1478</v>
      </c>
      <c r="AM219" s="1"/>
      <c r="AN219" s="1">
        <f t="shared" ref="AN219" si="93">S219*J219*0.012</f>
        <v>149.97839999999999</v>
      </c>
      <c r="AO219" s="1">
        <f t="shared" ref="AO219" si="94">W219*J219*0.012</f>
        <v>51.442043999999996</v>
      </c>
      <c r="AP219" s="1">
        <f t="shared" ref="AP219" si="95">Z219*J219*0.012</f>
        <v>11.150568</v>
      </c>
      <c r="AQ219" s="1">
        <f t="shared" ref="AQ219" si="96">AA219*J219*0.012</f>
        <v>0.379164</v>
      </c>
      <c r="AR219" s="1">
        <f t="shared" ref="AR219" si="97">AB219*J219*0.012</f>
        <v>224.99040000000002</v>
      </c>
      <c r="AS219" s="1">
        <f t="shared" ref="AS219" si="98">0.012*R219*J219</f>
        <v>0</v>
      </c>
      <c r="AU219" s="13"/>
      <c r="AV219" s="13"/>
    </row>
    <row r="220" spans="1:48" x14ac:dyDescent="0.3">
      <c r="A220" s="5">
        <v>45547</v>
      </c>
      <c r="C220" t="s">
        <v>331</v>
      </c>
      <c r="E220" t="s">
        <v>332</v>
      </c>
      <c r="F220" s="11"/>
      <c r="G220" s="11"/>
      <c r="H220" t="s">
        <v>245</v>
      </c>
      <c r="J220" s="1">
        <v>12</v>
      </c>
      <c r="K220" t="s">
        <v>96</v>
      </c>
      <c r="L220" s="93">
        <v>2.37</v>
      </c>
      <c r="M220" s="43">
        <v>2.7</v>
      </c>
      <c r="N220" s="1">
        <v>2190</v>
      </c>
      <c r="P220" s="31">
        <v>12.7</v>
      </c>
      <c r="Q220" s="1">
        <v>0</v>
      </c>
      <c r="R220" s="1">
        <v>0</v>
      </c>
      <c r="S220" s="1">
        <v>683.6</v>
      </c>
      <c r="T220" s="4">
        <f t="shared" si="90"/>
        <v>692.92785940079625</v>
      </c>
      <c r="U220" s="1"/>
      <c r="V220" s="1"/>
      <c r="W220" s="1">
        <v>94.16</v>
      </c>
      <c r="X220" s="1">
        <v>41.51</v>
      </c>
      <c r="Y220" s="4">
        <f t="shared" si="89"/>
        <v>52.65</v>
      </c>
      <c r="Z220" s="1">
        <v>47.012</v>
      </c>
      <c r="AA220" s="1">
        <v>1.5640000000000001</v>
      </c>
      <c r="AB220" s="1">
        <v>1114</v>
      </c>
      <c r="AC220" s="1"/>
      <c r="AD220" s="1"/>
      <c r="AE220" s="1"/>
      <c r="AF220" s="1"/>
      <c r="AG220" s="1"/>
      <c r="AH220" s="1"/>
      <c r="AI220" s="1"/>
      <c r="AJ220" s="1"/>
      <c r="AK220" s="1" t="s">
        <v>363</v>
      </c>
      <c r="AL220" s="1">
        <v>1514</v>
      </c>
      <c r="AM220" s="1"/>
      <c r="AN220" s="1">
        <f t="shared" ref="AN220" si="99">S220*J220*0.012</f>
        <v>98.438400000000016</v>
      </c>
      <c r="AO220" s="1">
        <f t="shared" ref="AO220" si="100">W220*J220*0.012</f>
        <v>13.559040000000001</v>
      </c>
      <c r="AP220" s="1">
        <f t="shared" ref="AP220" si="101">Z220*J220*0.012</f>
        <v>6.7697280000000006</v>
      </c>
      <c r="AQ220" s="1">
        <f t="shared" ref="AQ220" si="102">AA220*J220*0.012</f>
        <v>0.225216</v>
      </c>
      <c r="AR220" s="1">
        <f t="shared" ref="AR220" si="103">AB220*J220*0.012</f>
        <v>160.416</v>
      </c>
      <c r="AS220" s="1">
        <f t="shared" ref="AS220" si="104">0.012*R220*J220</f>
        <v>0</v>
      </c>
      <c r="AU220" s="13"/>
      <c r="AV220" s="13"/>
    </row>
    <row r="221" spans="1:48" x14ac:dyDescent="0.3">
      <c r="A221" s="5">
        <v>45595</v>
      </c>
      <c r="B221" s="12" t="s">
        <v>46</v>
      </c>
      <c r="C221" t="s">
        <v>331</v>
      </c>
      <c r="E221" t="s">
        <v>332</v>
      </c>
      <c r="F221" s="11"/>
      <c r="G221" s="11"/>
      <c r="H221" t="s">
        <v>299</v>
      </c>
      <c r="J221" s="1">
        <v>19.28</v>
      </c>
      <c r="K221" t="s">
        <v>96</v>
      </c>
      <c r="L221" s="83">
        <v>4.5</v>
      </c>
      <c r="M221" s="43">
        <v>2.7</v>
      </c>
      <c r="N221" s="1">
        <v>2031</v>
      </c>
      <c r="P221" s="31">
        <v>12.6</v>
      </c>
      <c r="Q221" s="1">
        <v>0</v>
      </c>
      <c r="R221" s="1">
        <v>0</v>
      </c>
      <c r="S221" s="1">
        <v>695</v>
      </c>
      <c r="T221" s="4">
        <f>(X221*1.79+Y221*2.68+5.56*Z221+1.82*AA221+50000*(10^-M221)-R221)</f>
        <v>565.0603757484439</v>
      </c>
      <c r="U221" s="1"/>
      <c r="V221" s="1"/>
      <c r="W221" s="1">
        <v>98.04</v>
      </c>
      <c r="X221" s="1">
        <v>54.322000000000003</v>
      </c>
      <c r="Y221" s="4">
        <f t="shared" si="89"/>
        <v>43.718000000000004</v>
      </c>
      <c r="Z221" s="1">
        <v>44.65</v>
      </c>
      <c r="AA221" s="1">
        <v>1.452</v>
      </c>
      <c r="AB221" s="1">
        <v>1076.8</v>
      </c>
      <c r="AC221" s="1"/>
      <c r="AD221" s="1"/>
      <c r="AE221" s="1"/>
      <c r="AF221" s="1"/>
      <c r="AG221" s="1"/>
      <c r="AH221" s="1"/>
      <c r="AI221" s="1"/>
      <c r="AJ221" s="1"/>
      <c r="AK221" s="1" t="s">
        <v>363</v>
      </c>
      <c r="AL221" s="1">
        <v>1542</v>
      </c>
      <c r="AM221" s="1"/>
      <c r="AN221" s="1">
        <f t="shared" ref="AN221" si="105">S221*J221*0.012</f>
        <v>160.79519999999999</v>
      </c>
      <c r="AO221" s="1">
        <f t="shared" ref="AO221" si="106">W221*J221*0.012</f>
        <v>22.682534400000002</v>
      </c>
      <c r="AP221" s="1">
        <f t="shared" ref="AP221" si="107">Z221*J221*0.012</f>
        <v>10.330223999999999</v>
      </c>
      <c r="AQ221" s="1">
        <f t="shared" ref="AQ221" si="108">AA221*J221*0.012</f>
        <v>0.33593472000000002</v>
      </c>
      <c r="AR221" s="1">
        <f t="shared" ref="AR221" si="109">AB221*J221*0.012</f>
        <v>249.12844800000002</v>
      </c>
      <c r="AS221" s="1">
        <f t="shared" ref="AS221" si="110">0.012*R221*J221</f>
        <v>0</v>
      </c>
      <c r="AU221" s="13"/>
      <c r="AV221" s="13"/>
    </row>
    <row r="222" spans="1:48" x14ac:dyDescent="0.3">
      <c r="A222" s="5">
        <v>45617</v>
      </c>
      <c r="C222" t="s">
        <v>331</v>
      </c>
      <c r="E222" t="s">
        <v>332</v>
      </c>
      <c r="F222" s="11"/>
      <c r="G222" s="11"/>
      <c r="H222" t="s">
        <v>245</v>
      </c>
      <c r="J222" s="1">
        <v>12.189</v>
      </c>
      <c r="K222" t="s">
        <v>96</v>
      </c>
      <c r="L222" s="93">
        <v>2.44</v>
      </c>
      <c r="M222" s="43">
        <v>2.8</v>
      </c>
      <c r="N222" s="1">
        <v>2102</v>
      </c>
      <c r="P222" s="31">
        <v>10.7</v>
      </c>
      <c r="Q222" s="1">
        <v>0</v>
      </c>
      <c r="R222" s="1">
        <v>0</v>
      </c>
      <c r="S222" s="1">
        <v>658.6</v>
      </c>
      <c r="T222" s="4">
        <f>(X222*1.79+Y222*2.68+5.56*Z222+1.82*AA222+50000*(10^-L222)-R222)</f>
        <v>705.1535473850505</v>
      </c>
      <c r="U222" s="1"/>
      <c r="V222" s="1"/>
      <c r="W222" s="1">
        <v>110.736</v>
      </c>
      <c r="X222" s="1">
        <v>52.75</v>
      </c>
      <c r="Y222" s="4">
        <f t="shared" si="89"/>
        <v>57.986000000000004</v>
      </c>
      <c r="Z222" s="1">
        <v>48.718000000000004</v>
      </c>
      <c r="AA222" s="1">
        <v>1.603</v>
      </c>
      <c r="AB222" s="1">
        <v>1104.3</v>
      </c>
      <c r="AC222" s="1"/>
      <c r="AD222" s="1"/>
      <c r="AE222" s="1"/>
      <c r="AF222" s="1"/>
      <c r="AG222" s="1"/>
      <c r="AH222" s="1"/>
      <c r="AI222" s="1"/>
      <c r="AJ222" s="1"/>
      <c r="AK222" s="1" t="s">
        <v>363</v>
      </c>
      <c r="AL222" s="1">
        <v>1496</v>
      </c>
      <c r="AM222" s="1"/>
      <c r="AN222" s="1">
        <f t="shared" ref="AN222" si="111">S222*J222*0.012</f>
        <v>96.332104799999996</v>
      </c>
      <c r="AO222" s="1">
        <f t="shared" ref="AO222" si="112">W222*J222*0.012</f>
        <v>16.197133248000004</v>
      </c>
      <c r="AP222" s="1">
        <f t="shared" ref="AP222" si="113">Z222*J222*0.012</f>
        <v>7.1258844240000005</v>
      </c>
      <c r="AQ222" s="1">
        <f t="shared" ref="AQ222" si="114">AA222*J222*0.012</f>
        <v>0.234467604</v>
      </c>
      <c r="AR222" s="1">
        <f t="shared" ref="AR222" si="115">AB222*J222*0.012</f>
        <v>161.52375240000001</v>
      </c>
      <c r="AS222" s="1">
        <f t="shared" ref="AS222" si="116">0.012*R222*J222</f>
        <v>0</v>
      </c>
      <c r="AU222" s="13"/>
      <c r="AV222" s="13"/>
    </row>
    <row r="223" spans="1:48" x14ac:dyDescent="0.3">
      <c r="A223" s="5">
        <v>45644</v>
      </c>
      <c r="B223" s="12" t="s">
        <v>420</v>
      </c>
      <c r="C223" t="s">
        <v>331</v>
      </c>
      <c r="E223" t="s">
        <v>332</v>
      </c>
      <c r="F223" s="11"/>
      <c r="G223" s="11"/>
      <c r="H223" t="s">
        <v>371</v>
      </c>
      <c r="J223" s="1">
        <v>16.100000000000001</v>
      </c>
      <c r="K223" t="s">
        <v>96</v>
      </c>
      <c r="L223" s="93">
        <v>2.64</v>
      </c>
      <c r="M223" s="43">
        <v>2.8</v>
      </c>
      <c r="N223" s="1">
        <v>2011</v>
      </c>
      <c r="P223" s="31">
        <v>10.5</v>
      </c>
      <c r="Q223" s="1">
        <v>0</v>
      </c>
      <c r="R223" s="1">
        <v>0</v>
      </c>
      <c r="S223" s="1">
        <v>647.79999999999995</v>
      </c>
      <c r="T223" s="4">
        <f t="shared" ref="T223:T224" si="117">(X223*1.79+Y223*2.68+5.56*Z223+1.82*AA223+50000*(10^-L223)-R223)</f>
        <v>589.76561263838857</v>
      </c>
      <c r="U223" s="1"/>
      <c r="V223" s="1"/>
      <c r="W223" s="1">
        <v>100.49299999999999</v>
      </c>
      <c r="X223" s="1">
        <v>51.341000000000001</v>
      </c>
      <c r="Y223" s="4">
        <f t="shared" si="89"/>
        <v>49.151999999999994</v>
      </c>
      <c r="Z223" s="1">
        <v>44.767000000000003</v>
      </c>
      <c r="AA223" s="1">
        <v>1.478</v>
      </c>
      <c r="AB223" s="1">
        <v>1000.1</v>
      </c>
      <c r="AC223" s="1"/>
      <c r="AD223" s="1"/>
      <c r="AE223" s="1"/>
      <c r="AF223" s="1"/>
      <c r="AG223" s="1"/>
      <c r="AH223" s="1"/>
      <c r="AI223" s="1"/>
      <c r="AJ223" s="1"/>
      <c r="AK223" s="1" t="s">
        <v>363</v>
      </c>
      <c r="AL223" s="1">
        <v>1554</v>
      </c>
      <c r="AM223" s="1"/>
      <c r="AN223" s="1">
        <f t="shared" ref="AN223:AN224" si="118">S223*J223*0.012</f>
        <v>125.15496</v>
      </c>
      <c r="AO223" s="1">
        <f t="shared" ref="AO223:AO224" si="119">W223*J223*0.012</f>
        <v>19.415247600000001</v>
      </c>
      <c r="AP223" s="1">
        <f t="shared" ref="AP223:AP224" si="120">Z223*J223*0.012</f>
        <v>8.6489844000000016</v>
      </c>
      <c r="AQ223" s="1">
        <f t="shared" ref="AQ223:AQ224" si="121">AA223*J223*0.012</f>
        <v>0.28554960000000007</v>
      </c>
      <c r="AR223" s="1">
        <f t="shared" ref="AR223:AR224" si="122">AB223*J223*0.012</f>
        <v>193.21932000000004</v>
      </c>
      <c r="AS223" s="1">
        <f t="shared" ref="AS223:AS224" si="123">0.012*R223*J223</f>
        <v>0</v>
      </c>
      <c r="AU223" s="13"/>
      <c r="AV223" s="13"/>
    </row>
    <row r="224" spans="1:48" x14ac:dyDescent="0.3">
      <c r="A224" s="5">
        <v>45687</v>
      </c>
      <c r="B224" s="12" t="s">
        <v>426</v>
      </c>
      <c r="C224" t="s">
        <v>331</v>
      </c>
      <c r="E224" t="s">
        <v>332</v>
      </c>
      <c r="F224" s="11"/>
      <c r="G224" s="11"/>
      <c r="H224" t="s">
        <v>245</v>
      </c>
      <c r="J224" s="1">
        <v>13.47</v>
      </c>
      <c r="K224" t="s">
        <v>96</v>
      </c>
      <c r="L224" s="93">
        <v>2.71</v>
      </c>
      <c r="M224" s="43">
        <v>2.8</v>
      </c>
      <c r="N224" s="1">
        <v>1881</v>
      </c>
      <c r="P224" s="31">
        <v>7.8</v>
      </c>
      <c r="Q224" s="1">
        <v>0</v>
      </c>
      <c r="R224" s="1">
        <v>0</v>
      </c>
      <c r="S224" s="1">
        <v>669.4</v>
      </c>
      <c r="T224" s="4">
        <f t="shared" si="117"/>
        <v>615.24052998790228</v>
      </c>
      <c r="U224" s="1"/>
      <c r="V224" s="1"/>
      <c r="W224" s="1">
        <v>99.006</v>
      </c>
      <c r="X224" s="1">
        <v>1.73</v>
      </c>
      <c r="Y224" s="4">
        <f t="shared" si="89"/>
        <v>97.275999999999996</v>
      </c>
      <c r="Z224" s="1">
        <v>45.191000000000003</v>
      </c>
      <c r="AA224" s="1">
        <v>1.478</v>
      </c>
      <c r="AB224" s="1">
        <v>946.6</v>
      </c>
      <c r="AC224" s="1"/>
      <c r="AD224" s="1"/>
      <c r="AE224" s="1"/>
      <c r="AF224" s="1"/>
      <c r="AG224" s="1"/>
      <c r="AH224" s="1"/>
      <c r="AI224" s="1"/>
      <c r="AJ224" s="1"/>
      <c r="AK224" s="1" t="s">
        <v>363</v>
      </c>
      <c r="AL224" s="1">
        <v>1490</v>
      </c>
      <c r="AM224" s="1"/>
      <c r="AN224" s="1">
        <f t="shared" si="118"/>
        <v>108.20181599999999</v>
      </c>
      <c r="AO224" s="1">
        <f t="shared" si="119"/>
        <v>16.003329840000003</v>
      </c>
      <c r="AP224" s="1">
        <f t="shared" si="120"/>
        <v>7.3046732400000014</v>
      </c>
      <c r="AQ224" s="1">
        <f t="shared" si="121"/>
        <v>0.23890392000000002</v>
      </c>
      <c r="AR224" s="1">
        <f t="shared" si="122"/>
        <v>153.00842400000002</v>
      </c>
      <c r="AS224" s="1">
        <f t="shared" si="123"/>
        <v>0</v>
      </c>
      <c r="AU224" s="13"/>
      <c r="AV224" s="13"/>
    </row>
    <row r="225" spans="1:50" s="7" customFormat="1" x14ac:dyDescent="0.3">
      <c r="A225" s="45" t="s">
        <v>144</v>
      </c>
      <c r="B225" s="46"/>
      <c r="F225" s="47"/>
      <c r="G225" s="47"/>
      <c r="I225" s="15"/>
      <c r="J225" s="20">
        <f>AVERAGE(J213:J224)</f>
        <v>13.836432616666668</v>
      </c>
      <c r="K225" s="20" t="e">
        <f>AVERAGE(K213:K224)</f>
        <v>#DIV/0!</v>
      </c>
      <c r="L225" s="50">
        <f>AVERAGE(L215:L224,L213)</f>
        <v>2.9590909090909094</v>
      </c>
      <c r="M225" s="50">
        <f>AVERAGE(M213:M224)</f>
        <v>2.7416666666666667</v>
      </c>
      <c r="N225" s="20">
        <f>AVERAGE(N213:N224)</f>
        <v>1959.6666666666667</v>
      </c>
      <c r="O225" s="20"/>
      <c r="P225" s="20">
        <f>AVERAGE(P213:P224)</f>
        <v>10.872727272727273</v>
      </c>
      <c r="Q225" s="20">
        <f>AVERAGE(Q213:Q224)</f>
        <v>0</v>
      </c>
      <c r="R225" s="20">
        <f>AVERAGE(R213:R224)</f>
        <v>0</v>
      </c>
      <c r="S225" s="20">
        <f>AVERAGE(S213:S224)</f>
        <v>571.85</v>
      </c>
      <c r="T225" s="20">
        <f>AVERAGE(T213:T224)</f>
        <v>591.77828120434299</v>
      </c>
      <c r="U225" s="20"/>
      <c r="V225" s="20"/>
      <c r="W225" s="20">
        <f>AVERAGE(W213:W224)</f>
        <v>85.98599999999999</v>
      </c>
      <c r="X225" s="20">
        <f>AVERAGE(X213:X224)</f>
        <v>26.060583333333337</v>
      </c>
      <c r="Y225" s="20"/>
      <c r="Z225" s="20">
        <f>AVERAGE(Z213:Z224)</f>
        <v>42.890166666666666</v>
      </c>
      <c r="AA225" s="20">
        <f>AVERAGE(AA213:AA224)</f>
        <v>1.4509166666666669</v>
      </c>
      <c r="AB225" s="20">
        <f>AVERAGE(AB213:AB224)</f>
        <v>899.32500000000016</v>
      </c>
      <c r="AC225" s="20"/>
      <c r="AD225" s="20"/>
      <c r="AE225" s="20"/>
      <c r="AF225" s="20"/>
      <c r="AG225" s="20"/>
      <c r="AH225" s="20"/>
      <c r="AI225" s="20"/>
      <c r="AJ225" s="20"/>
      <c r="AK225" s="20"/>
      <c r="AL225" s="20">
        <f>AVERAGE(AL213:AL224)</f>
        <v>1424.6666666666667</v>
      </c>
      <c r="AM225" s="20"/>
      <c r="AN225" s="20">
        <f t="shared" ref="AN225:AS225" si="124">AVERAGE(AN213:AN224)</f>
        <v>92.957158944859998</v>
      </c>
      <c r="AO225" s="20">
        <f t="shared" si="124"/>
        <v>14.759627756380297</v>
      </c>
      <c r="AP225" s="20">
        <f t="shared" si="124"/>
        <v>6.9710394644991007</v>
      </c>
      <c r="AQ225" s="20">
        <f t="shared" si="124"/>
        <v>0.24023939897209998</v>
      </c>
      <c r="AR225" s="20">
        <f t="shared" si="124"/>
        <v>147.29420022186002</v>
      </c>
      <c r="AS225" s="20">
        <f t="shared" si="124"/>
        <v>0</v>
      </c>
      <c r="AT225" s="20"/>
      <c r="AU225" s="20"/>
      <c r="AV225" s="20"/>
      <c r="AW225" s="20"/>
      <c r="AX225" s="20"/>
    </row>
    <row r="226" spans="1:50" x14ac:dyDescent="0.3">
      <c r="F226" s="11"/>
      <c r="G226" s="11"/>
      <c r="L226" s="83"/>
      <c r="M226" s="43"/>
      <c r="P226" s="31"/>
      <c r="Q226" s="1"/>
      <c r="R226" s="1"/>
      <c r="S226" s="1"/>
      <c r="T226" s="1"/>
      <c r="U226" s="1"/>
      <c r="V226" s="1"/>
      <c r="W226" s="1"/>
      <c r="X226" s="1"/>
      <c r="Y226" s="1"/>
      <c r="Z226" s="1"/>
      <c r="AA226" s="1"/>
      <c r="AB226" s="1"/>
      <c r="AC226" s="1"/>
      <c r="AD226" s="1"/>
      <c r="AE226" s="1"/>
      <c r="AF226" s="1"/>
      <c r="AG226" s="1"/>
      <c r="AH226" s="1"/>
      <c r="AI226" s="1"/>
      <c r="AJ226" s="1"/>
      <c r="AK226" s="1"/>
      <c r="AL226" s="1"/>
      <c r="AM226" s="1"/>
      <c r="AU226" s="13"/>
      <c r="AV226" s="13"/>
    </row>
    <row r="227" spans="1:50" x14ac:dyDescent="0.3">
      <c r="A227" s="5">
        <v>45366</v>
      </c>
      <c r="B227" s="12" t="s">
        <v>55</v>
      </c>
      <c r="C227" t="s">
        <v>359</v>
      </c>
      <c r="E227" t="s">
        <v>360</v>
      </c>
      <c r="F227" s="11"/>
      <c r="G227" s="11"/>
      <c r="H227" t="s">
        <v>245</v>
      </c>
      <c r="J227" s="1">
        <v>2.35</v>
      </c>
      <c r="K227" t="s">
        <v>96</v>
      </c>
      <c r="L227" s="83">
        <v>2.61</v>
      </c>
      <c r="M227" s="43">
        <v>4.8</v>
      </c>
      <c r="N227" s="1">
        <v>203</v>
      </c>
      <c r="P227" s="31">
        <v>8.8000000000000007</v>
      </c>
      <c r="Q227" s="1"/>
      <c r="R227" s="1">
        <v>6.8</v>
      </c>
      <c r="S227" s="1">
        <v>9.8000000000000007</v>
      </c>
      <c r="T227" s="4" cm="1">
        <f t="array" ref="T227">_xlfn.IFS(M227&lt;=5,IF(ISNUMBER(X227)=TRUE,X227*1.79+AA227*1.8+Z227*5.56+50000*(10^-M227)-R227,1.79+AA227*1.8+Z227*5.56+50000*(10^-M227)-R227),M227&gt;5,IF(ISNUMBER(X227)=TRUE,X227*1.79+AA227*1.8+50000*(10^-M227)-R227,AA227*1.8+50000*(10^-M227)-R227))</f>
        <v>0.25338659623055637</v>
      </c>
      <c r="U227" s="1"/>
      <c r="V227" s="1"/>
      <c r="W227" s="92">
        <v>0.3</v>
      </c>
      <c r="X227" s="1">
        <v>5.8000000000000003E-2</v>
      </c>
      <c r="Y227" s="1"/>
      <c r="Z227" s="1">
        <v>0.997</v>
      </c>
      <c r="AA227" s="1">
        <v>0.34100000000000003</v>
      </c>
      <c r="AB227" s="1">
        <v>80.7</v>
      </c>
      <c r="AC227" s="1"/>
      <c r="AD227" s="1"/>
      <c r="AE227" s="1"/>
      <c r="AF227" s="1"/>
      <c r="AG227" s="1"/>
      <c r="AH227" s="1"/>
      <c r="AI227" s="1"/>
      <c r="AJ227" s="1"/>
      <c r="AK227" s="1" t="s">
        <v>363</v>
      </c>
      <c r="AL227" s="1">
        <v>128</v>
      </c>
      <c r="AM227" s="1"/>
      <c r="AN227" s="1">
        <f>S227*J227*0.012</f>
        <v>0.27635999999999999</v>
      </c>
      <c r="AO227" s="1">
        <f>W227*J227*0.012</f>
        <v>8.4600000000000005E-3</v>
      </c>
      <c r="AP227" s="1">
        <f>Z227*J227*0.012</f>
        <v>2.8115400000000002E-2</v>
      </c>
      <c r="AQ227" s="1">
        <f>AA227*J227*0.012</f>
        <v>9.6162000000000018E-3</v>
      </c>
      <c r="AR227" s="1">
        <f>AB227*J227*0.012</f>
        <v>2.2757400000000003</v>
      </c>
      <c r="AS227" s="1">
        <f t="shared" si="38"/>
        <v>0.19176000000000001</v>
      </c>
      <c r="AU227" s="13"/>
      <c r="AV227" s="13"/>
    </row>
    <row r="228" spans="1:50" x14ac:dyDescent="0.3">
      <c r="F228" s="11"/>
      <c r="G228" s="11"/>
      <c r="L228" s="43"/>
      <c r="M228" s="43"/>
      <c r="P228" s="31"/>
      <c r="Q228" s="1"/>
      <c r="R228" s="1"/>
      <c r="S228" s="1"/>
      <c r="T228" s="1"/>
      <c r="U228" s="1"/>
      <c r="V228" s="1"/>
      <c r="W228" s="1"/>
      <c r="X228" s="1"/>
      <c r="Y228" s="1"/>
      <c r="Z228" s="1"/>
      <c r="AA228" s="1"/>
      <c r="AB228" s="1"/>
      <c r="AC228" s="1"/>
      <c r="AD228" s="1"/>
      <c r="AE228" s="1"/>
      <c r="AF228" s="1"/>
      <c r="AG228" s="1"/>
      <c r="AH228" s="1"/>
      <c r="AI228" s="1"/>
      <c r="AJ228" s="1"/>
      <c r="AK228" s="1"/>
      <c r="AL228" s="1"/>
      <c r="AM228" s="1"/>
      <c r="AU228" s="13"/>
      <c r="AV228" s="13"/>
    </row>
    <row r="229" spans="1:50" x14ac:dyDescent="0.3">
      <c r="A229" s="5">
        <v>45345</v>
      </c>
      <c r="C229" t="s">
        <v>333</v>
      </c>
      <c r="E229" t="s">
        <v>334</v>
      </c>
      <c r="F229" s="11"/>
      <c r="G229" s="11"/>
      <c r="H229" t="s">
        <v>245</v>
      </c>
      <c r="L229" s="43">
        <v>6.72</v>
      </c>
      <c r="M229" s="43"/>
      <c r="N229" s="1">
        <v>776</v>
      </c>
      <c r="P229" s="31">
        <v>5.7</v>
      </c>
      <c r="Q229" s="1"/>
      <c r="R229" s="1"/>
      <c r="S229" s="1"/>
      <c r="T229" s="1"/>
      <c r="U229" s="1"/>
      <c r="V229" s="1"/>
      <c r="W229" s="1"/>
      <c r="X229" s="1"/>
      <c r="Y229" s="1"/>
      <c r="Z229" s="1"/>
      <c r="AA229" s="1"/>
      <c r="AB229" s="1"/>
      <c r="AC229" s="1"/>
      <c r="AD229" s="1"/>
      <c r="AE229" s="1"/>
      <c r="AF229" s="1"/>
      <c r="AG229" s="1"/>
      <c r="AH229" s="1"/>
      <c r="AI229" s="1"/>
      <c r="AJ229" s="1"/>
      <c r="AK229" s="1"/>
      <c r="AL229" s="1"/>
      <c r="AM229" s="1"/>
      <c r="AS229" s="1">
        <f t="shared" ref="AS229:AS287" si="125">0.012*R229*J229</f>
        <v>0</v>
      </c>
      <c r="AU229" s="13"/>
      <c r="AV229" s="13"/>
    </row>
    <row r="230" spans="1:50" x14ac:dyDescent="0.3">
      <c r="F230" s="11"/>
      <c r="G230" s="11"/>
      <c r="L230" s="43"/>
      <c r="M230" s="43"/>
      <c r="P230" s="31"/>
      <c r="Q230" s="1"/>
      <c r="R230" s="1"/>
      <c r="S230" s="1"/>
      <c r="T230" s="1"/>
      <c r="U230" s="1"/>
      <c r="V230" s="1"/>
      <c r="W230" s="1"/>
      <c r="X230" s="1"/>
      <c r="Y230" s="1"/>
      <c r="Z230" s="1"/>
      <c r="AA230" s="1"/>
      <c r="AB230" s="1"/>
      <c r="AC230" s="1"/>
      <c r="AD230" s="1"/>
      <c r="AE230" s="1"/>
      <c r="AF230" s="1"/>
      <c r="AG230" s="1"/>
      <c r="AH230" s="1"/>
      <c r="AI230" s="1"/>
      <c r="AJ230" s="1"/>
      <c r="AL230" s="1"/>
      <c r="AM230" s="1"/>
      <c r="AU230" s="13"/>
      <c r="AV230" s="13"/>
    </row>
    <row r="231" spans="1:50" x14ac:dyDescent="0.3">
      <c r="A231" s="5">
        <v>45345</v>
      </c>
      <c r="B231" s="12" t="s">
        <v>43</v>
      </c>
      <c r="C231" t="s">
        <v>336</v>
      </c>
      <c r="E231" t="s">
        <v>335</v>
      </c>
      <c r="F231" s="11"/>
      <c r="G231" s="11"/>
      <c r="H231" t="s">
        <v>245</v>
      </c>
      <c r="J231" s="1">
        <v>15</v>
      </c>
      <c r="K231" t="s">
        <v>106</v>
      </c>
      <c r="L231" s="43">
        <v>3.96</v>
      </c>
      <c r="M231" s="43">
        <v>4.4000000000000004</v>
      </c>
      <c r="N231" s="1">
        <v>322</v>
      </c>
      <c r="P231" s="31">
        <v>6.9</v>
      </c>
      <c r="Q231" s="1"/>
      <c r="R231" s="1">
        <v>6.2</v>
      </c>
      <c r="S231" s="1">
        <v>26</v>
      </c>
      <c r="T231" s="4" cm="1">
        <f t="array" ref="T231">_xlfn.IFS(L231&lt;=5,IF(ISNUMBER(X231)=TRUE,X231*1.79+AA231*1.8+Z231*5.56+50000*(10^-L231)-R231,1.79+AA231*1.8+Z231*5.56+50000*(10^-L231)-R231),L231&gt;5,IF(ISNUMBER(X231)=TRUE,X231*1.79+AA231*1.8+50000*(10^-L231)-R231,AA231*1.8+50000*(10^-L231)-R231))</f>
        <v>25.663010980715921</v>
      </c>
      <c r="U231" s="1"/>
      <c r="V231" s="1"/>
      <c r="W231" s="31">
        <v>0.48</v>
      </c>
      <c r="X231" s="31">
        <v>0.28199999999999997</v>
      </c>
      <c r="Y231" s="31"/>
      <c r="Z231" s="1">
        <v>4.2240000000000002</v>
      </c>
      <c r="AA231" s="1">
        <v>1.3280000000000001</v>
      </c>
      <c r="AB231" s="1">
        <v>70</v>
      </c>
      <c r="AC231" s="1"/>
      <c r="AD231" s="1"/>
      <c r="AE231" s="1"/>
      <c r="AF231" s="1"/>
      <c r="AG231" s="1"/>
      <c r="AH231" s="1"/>
      <c r="AI231" s="1"/>
      <c r="AJ231" s="1"/>
      <c r="AK231" s="1" t="s">
        <v>363</v>
      </c>
      <c r="AL231" s="1">
        <v>138</v>
      </c>
      <c r="AM231" s="1"/>
      <c r="AN231" s="1">
        <f>S231*J231*0.012</f>
        <v>4.68</v>
      </c>
      <c r="AO231" s="1">
        <f>W231*J231*0.012</f>
        <v>8.6399999999999991E-2</v>
      </c>
      <c r="AP231" s="1">
        <f>Z231*J231*0.012</f>
        <v>0.76032</v>
      </c>
      <c r="AQ231" s="1">
        <f>AA231*J231*0.012</f>
        <v>0.23904000000000003</v>
      </c>
      <c r="AR231" s="1">
        <f>AB231*J231*0.012</f>
        <v>12.6</v>
      </c>
      <c r="AS231" s="1">
        <f t="shared" si="125"/>
        <v>1.1160000000000001</v>
      </c>
      <c r="AU231" s="13"/>
      <c r="AV231" s="13"/>
    </row>
    <row r="232" spans="1:50" x14ac:dyDescent="0.3">
      <c r="F232" s="11"/>
      <c r="G232" s="11"/>
      <c r="L232" s="43"/>
      <c r="M232" s="43"/>
      <c r="P232" s="31"/>
      <c r="Q232" s="1"/>
      <c r="R232" s="1"/>
      <c r="S232" s="1"/>
      <c r="T232" s="1"/>
      <c r="U232" s="1"/>
      <c r="V232" s="1"/>
      <c r="W232" s="1"/>
      <c r="X232" s="1"/>
      <c r="Y232" s="1"/>
      <c r="Z232" s="1"/>
      <c r="AA232" s="1"/>
      <c r="AB232" s="1"/>
      <c r="AC232" s="1"/>
      <c r="AD232" s="1"/>
      <c r="AE232" s="1"/>
      <c r="AF232" s="1"/>
      <c r="AG232" s="1"/>
      <c r="AH232" s="1"/>
      <c r="AI232" s="1"/>
      <c r="AJ232" s="1"/>
      <c r="AK232" s="1"/>
      <c r="AL232" s="1"/>
      <c r="AM232" s="1"/>
      <c r="AU232" s="13"/>
      <c r="AV232" s="13"/>
    </row>
    <row r="233" spans="1:50" x14ac:dyDescent="0.3">
      <c r="A233" s="5" t="s">
        <v>167</v>
      </c>
      <c r="C233" t="s">
        <v>168</v>
      </c>
      <c r="F233" s="11"/>
      <c r="G233" s="11"/>
      <c r="J233" s="14">
        <v>513</v>
      </c>
      <c r="M233" s="2">
        <v>4</v>
      </c>
      <c r="P233" s="31"/>
      <c r="S233" s="4">
        <v>52</v>
      </c>
      <c r="W233" s="3">
        <v>0.9</v>
      </c>
      <c r="Z233" s="3">
        <v>4.0999999999999996</v>
      </c>
      <c r="AA233" s="3">
        <v>3.5</v>
      </c>
      <c r="AB233" s="4">
        <v>300</v>
      </c>
      <c r="AD233" s="8"/>
      <c r="AE233" s="8"/>
      <c r="AU233" s="13"/>
      <c r="AV233" s="13"/>
    </row>
    <row r="234" spans="1:50" x14ac:dyDescent="0.3">
      <c r="A234" s="5">
        <v>44846</v>
      </c>
      <c r="B234" s="12" t="s">
        <v>65</v>
      </c>
      <c r="C234" t="s">
        <v>66</v>
      </c>
      <c r="E234" t="s">
        <v>54</v>
      </c>
      <c r="F234" s="11">
        <v>40.672350000000002</v>
      </c>
      <c r="G234" s="11">
        <v>-78.992339999999999</v>
      </c>
      <c r="H234" t="s">
        <v>93</v>
      </c>
      <c r="I234" s="2">
        <f>I254+0.6</f>
        <v>4.3</v>
      </c>
      <c r="J234" s="1">
        <v>20</v>
      </c>
      <c r="K234" t="s">
        <v>96</v>
      </c>
      <c r="L234" s="2">
        <v>4.16</v>
      </c>
      <c r="M234" s="2">
        <v>4.3</v>
      </c>
      <c r="N234" s="1">
        <v>525</v>
      </c>
      <c r="O234" s="1">
        <v>534</v>
      </c>
      <c r="P234" s="3">
        <v>10</v>
      </c>
      <c r="Q234" s="4">
        <v>0</v>
      </c>
      <c r="R234" s="4">
        <v>0</v>
      </c>
      <c r="S234" s="4">
        <v>36.4</v>
      </c>
      <c r="T234" s="4">
        <f>(X234*1.79+Y234*2.68+5.56*Z234+1.82*AA234+50000*(10^-L234)-R234)</f>
        <v>27.662944854594681</v>
      </c>
      <c r="U234" s="2">
        <v>9.81</v>
      </c>
      <c r="V234" s="2">
        <v>86.6</v>
      </c>
      <c r="W234" s="3">
        <v>0.878</v>
      </c>
      <c r="X234" s="3">
        <v>0.50700000000000001</v>
      </c>
      <c r="Y234" s="4">
        <f>IF(W234-X234&lt;0,0,W234-X234)</f>
        <v>0.371</v>
      </c>
      <c r="Z234" s="3">
        <v>3</v>
      </c>
      <c r="AA234" s="3">
        <v>3.089</v>
      </c>
      <c r="AB234" s="4">
        <v>264.02999999999997</v>
      </c>
      <c r="AC234" s="3">
        <v>53.49</v>
      </c>
      <c r="AD234" s="8">
        <v>23.16</v>
      </c>
      <c r="AE234" s="8">
        <v>3.43</v>
      </c>
      <c r="AF234" s="3">
        <v>2.37</v>
      </c>
      <c r="AG234" s="3">
        <v>4</v>
      </c>
      <c r="AH234" s="2">
        <v>8.5999999999999993E-2</v>
      </c>
      <c r="AI234" s="2">
        <v>0.153</v>
      </c>
      <c r="AJ234" s="3" t="s">
        <v>159</v>
      </c>
      <c r="AN234" s="1">
        <f>S234*J234*0.012</f>
        <v>8.7360000000000007</v>
      </c>
      <c r="AO234" s="1">
        <f>W234*J234*0.012</f>
        <v>0.21071999999999999</v>
      </c>
      <c r="AP234" s="1">
        <f>Z234*J234*0.012</f>
        <v>0.72</v>
      </c>
      <c r="AQ234" s="1">
        <f>AA234*J234*0.012</f>
        <v>0.74136000000000002</v>
      </c>
      <c r="AR234" s="1">
        <f>AB234*J234*0.012</f>
        <v>63.367199999999997</v>
      </c>
      <c r="AS234" s="1">
        <f t="shared" si="125"/>
        <v>0</v>
      </c>
      <c r="AU234" s="13" t="str">
        <f>CONCATENATE(TEXT(ROUNDDOWN(ABS(F234),0),"00"),"° ",TEXT(ROUNDDOWN(ABS((F234-ROUNDDOWN(F234,0))*60),0),"00"),"' ",TEXT(TRUNC((ABS((F234-ROUNDDOWN(F234,0))*60)-ROUNDDOWN(ABS((F234-ROUNDDOWN(F234,0))*60),0))*60,2),"00.00"),"""",IF(F234&lt;0," S"," N"))</f>
        <v>40° 40' 20.46" N</v>
      </c>
      <c r="AV234" s="13" t="str">
        <f>CONCATENATE(TEXT(ROUNDDOWN(ABS(G234),0),"000"),"° ",TEXT(ROUNDDOWN(ABS((G234-ROUNDDOWN(G234,0))*60),0),"00"),"' ",TEXT(TRUNC((ABS((G234-ROUNDDOWN(G234,0))*60)-ROUNDDOWN(ABS((G234-ROUNDDOWN(G234,0))*60),0))*60,2),"00.00"),"""",IF(G234&lt;0," W"," E"))</f>
        <v>078° 59' 32.42" W</v>
      </c>
    </row>
    <row r="235" spans="1:50" x14ac:dyDescent="0.3">
      <c r="A235" s="5">
        <v>44903</v>
      </c>
      <c r="B235" s="12" t="s">
        <v>65</v>
      </c>
      <c r="C235" t="s">
        <v>66</v>
      </c>
      <c r="E235" t="s">
        <v>54</v>
      </c>
      <c r="F235" s="11">
        <v>40.672350000000002</v>
      </c>
      <c r="G235" s="11">
        <v>-78.992339999999999</v>
      </c>
      <c r="H235" t="s">
        <v>154</v>
      </c>
      <c r="I235" s="2">
        <f>I234</f>
        <v>4.3</v>
      </c>
      <c r="J235" s="1">
        <v>50</v>
      </c>
      <c r="K235" t="s">
        <v>96</v>
      </c>
      <c r="L235" s="2">
        <v>4.04</v>
      </c>
      <c r="M235" s="2">
        <v>4.2</v>
      </c>
      <c r="N235" s="1">
        <v>421</v>
      </c>
      <c r="O235" s="1">
        <v>443</v>
      </c>
      <c r="R235" s="4">
        <v>0</v>
      </c>
      <c r="S235" s="4">
        <v>35</v>
      </c>
      <c r="T235" s="4">
        <f>(X235*1.79+Y235*2.68+5.56*Z235+1.82*AA235+50000*(10^-L235)-R235)</f>
        <v>27.910134196779545</v>
      </c>
      <c r="W235" s="3">
        <v>0.22600000000000001</v>
      </c>
      <c r="X235" s="3">
        <v>0.06</v>
      </c>
      <c r="Y235" s="4">
        <f>IF(W235-X235&lt;0,0,W235-X235)</f>
        <v>0.16600000000000001</v>
      </c>
      <c r="Z235" s="3">
        <v>3.39</v>
      </c>
      <c r="AA235" s="3">
        <v>2.17</v>
      </c>
      <c r="AC235" s="3">
        <v>44.3</v>
      </c>
      <c r="AD235" s="8">
        <v>19.3</v>
      </c>
      <c r="AE235" s="8">
        <v>2.39</v>
      </c>
      <c r="AF235" s="3">
        <v>2.25</v>
      </c>
      <c r="AG235" s="3">
        <v>4</v>
      </c>
      <c r="AH235" s="2">
        <v>7.8E-2</v>
      </c>
      <c r="AI235" s="2">
        <v>0.16</v>
      </c>
      <c r="AJ235" s="3" t="s">
        <v>159</v>
      </c>
      <c r="AN235" s="1">
        <f>S235*J235*0.012</f>
        <v>21</v>
      </c>
      <c r="AO235" s="1">
        <f>W235*J235*0.012</f>
        <v>0.1356</v>
      </c>
      <c r="AP235" s="1">
        <f>Z235*J235*0.012</f>
        <v>2.0340000000000003</v>
      </c>
      <c r="AQ235" s="1">
        <f>AA235*J235*0.012</f>
        <v>1.302</v>
      </c>
      <c r="AR235" s="1">
        <f>AB235*J235*0.012</f>
        <v>0</v>
      </c>
      <c r="AS235" s="1">
        <f t="shared" si="125"/>
        <v>0</v>
      </c>
      <c r="AU235" s="13"/>
      <c r="AV235" s="13"/>
    </row>
    <row r="236" spans="1:50" s="7" customFormat="1" x14ac:dyDescent="0.3">
      <c r="A236" s="45" t="s">
        <v>144</v>
      </c>
      <c r="B236" s="46"/>
      <c r="F236" s="47"/>
      <c r="G236" s="47"/>
      <c r="I236" s="15"/>
      <c r="J236" s="20">
        <f>AVERAGE(J234:J235)</f>
        <v>35</v>
      </c>
      <c r="K236" s="20" t="e">
        <f t="shared" ref="K236:AS236" si="126">AVERAGE(K234:K235)</f>
        <v>#DIV/0!</v>
      </c>
      <c r="L236" s="20">
        <f t="shared" si="126"/>
        <v>4.0999999999999996</v>
      </c>
      <c r="M236" s="20">
        <f t="shared" si="126"/>
        <v>4.25</v>
      </c>
      <c r="N236" s="20">
        <f t="shared" si="126"/>
        <v>473</v>
      </c>
      <c r="O236" s="20">
        <f t="shared" si="126"/>
        <v>488.5</v>
      </c>
      <c r="P236" s="20">
        <f t="shared" si="126"/>
        <v>10</v>
      </c>
      <c r="Q236" s="20">
        <f t="shared" si="126"/>
        <v>0</v>
      </c>
      <c r="R236" s="20">
        <f t="shared" si="126"/>
        <v>0</v>
      </c>
      <c r="S236" s="20">
        <f t="shared" si="126"/>
        <v>35.700000000000003</v>
      </c>
      <c r="T236" s="20">
        <f t="shared" si="126"/>
        <v>27.786539525687111</v>
      </c>
      <c r="U236" s="20">
        <f t="shared" si="126"/>
        <v>9.81</v>
      </c>
      <c r="V236" s="20">
        <f t="shared" si="126"/>
        <v>86.6</v>
      </c>
      <c r="W236" s="20">
        <f t="shared" si="126"/>
        <v>0.55200000000000005</v>
      </c>
      <c r="X236" s="20">
        <f t="shared" si="126"/>
        <v>0.28349999999999997</v>
      </c>
      <c r="Y236" s="20">
        <f t="shared" si="126"/>
        <v>0.26850000000000002</v>
      </c>
      <c r="Z236" s="20">
        <f t="shared" si="126"/>
        <v>3.1950000000000003</v>
      </c>
      <c r="AA236" s="20">
        <f t="shared" si="126"/>
        <v>2.6295000000000002</v>
      </c>
      <c r="AB236" s="20">
        <f t="shared" si="126"/>
        <v>264.02999999999997</v>
      </c>
      <c r="AC236" s="20">
        <f t="shared" si="126"/>
        <v>48.894999999999996</v>
      </c>
      <c r="AD236" s="20">
        <f t="shared" si="126"/>
        <v>21.23</v>
      </c>
      <c r="AE236" s="20">
        <f t="shared" si="126"/>
        <v>2.91</v>
      </c>
      <c r="AF236" s="20">
        <f t="shared" si="126"/>
        <v>2.31</v>
      </c>
      <c r="AG236" s="20">
        <f t="shared" si="126"/>
        <v>4</v>
      </c>
      <c r="AH236" s="20">
        <f t="shared" si="126"/>
        <v>8.199999999999999E-2</v>
      </c>
      <c r="AI236" s="20">
        <f t="shared" si="126"/>
        <v>0.1565</v>
      </c>
      <c r="AJ236" s="20" t="e">
        <f t="shared" si="126"/>
        <v>#DIV/0!</v>
      </c>
      <c r="AK236" s="20" t="e">
        <f t="shared" si="126"/>
        <v>#DIV/0!</v>
      </c>
      <c r="AL236" s="20" t="e">
        <f t="shared" si="126"/>
        <v>#DIV/0!</v>
      </c>
      <c r="AM236" s="20" t="e">
        <f t="shared" si="126"/>
        <v>#DIV/0!</v>
      </c>
      <c r="AN236" s="20">
        <f t="shared" si="126"/>
        <v>14.868</v>
      </c>
      <c r="AO236" s="20">
        <f t="shared" si="126"/>
        <v>0.17315999999999998</v>
      </c>
      <c r="AP236" s="20">
        <f t="shared" si="126"/>
        <v>1.3770000000000002</v>
      </c>
      <c r="AQ236" s="20">
        <f t="shared" si="126"/>
        <v>1.0216799999999999</v>
      </c>
      <c r="AR236" s="20">
        <f t="shared" si="126"/>
        <v>31.683599999999998</v>
      </c>
      <c r="AS236" s="20">
        <f t="shared" si="126"/>
        <v>0</v>
      </c>
      <c r="AU236" s="48"/>
      <c r="AV236" s="48"/>
    </row>
    <row r="238" spans="1:50" x14ac:dyDescent="0.3">
      <c r="A238" s="5">
        <v>45345</v>
      </c>
      <c r="B238" s="12" t="s">
        <v>46</v>
      </c>
      <c r="C238" t="s">
        <v>66</v>
      </c>
      <c r="E238" t="s">
        <v>337</v>
      </c>
      <c r="F238" s="11">
        <v>40.671900000000001</v>
      </c>
      <c r="G238" s="11">
        <v>-78.993750000000006</v>
      </c>
      <c r="H238" t="s">
        <v>245</v>
      </c>
      <c r="J238" s="1">
        <v>6.8</v>
      </c>
      <c r="K238" t="s">
        <v>96</v>
      </c>
      <c r="L238" s="43">
        <v>3.73</v>
      </c>
      <c r="M238" s="43">
        <v>4</v>
      </c>
      <c r="N238" s="1">
        <v>921</v>
      </c>
      <c r="P238" s="31">
        <v>4.3</v>
      </c>
      <c r="Q238" s="1"/>
      <c r="R238" s="1">
        <v>1.2</v>
      </c>
      <c r="S238" s="1">
        <v>145.4</v>
      </c>
      <c r="T238" s="4">
        <f>(X238*1.79+Y238*2.68+5.56*Z238+1.82*AA238+50000*(10^-L238)-R238)</f>
        <v>140.83648568331432</v>
      </c>
      <c r="U238" s="1"/>
      <c r="V238" s="1"/>
      <c r="W238" s="1">
        <v>1.1160000000000001</v>
      </c>
      <c r="X238" s="31">
        <v>0.193</v>
      </c>
      <c r="Y238" s="4">
        <f>IF(W238-X238&lt;0,0,W238-X238)</f>
        <v>0.92300000000000004</v>
      </c>
      <c r="Z238" s="1">
        <v>22.576000000000001</v>
      </c>
      <c r="AA238" s="1">
        <v>2.4089999999999998</v>
      </c>
      <c r="AB238" s="1">
        <v>295.60000000000002</v>
      </c>
      <c r="AC238" s="1"/>
      <c r="AD238" s="1"/>
      <c r="AE238" s="1"/>
      <c r="AF238" s="1"/>
      <c r="AG238" s="1"/>
      <c r="AH238" s="1"/>
      <c r="AI238" s="1"/>
      <c r="AJ238" s="1"/>
      <c r="AK238" s="1" t="s">
        <v>363</v>
      </c>
      <c r="AL238" s="1">
        <v>714</v>
      </c>
      <c r="AM238" s="1"/>
      <c r="AN238" s="1">
        <f>S238*J238*0.012</f>
        <v>11.864640000000001</v>
      </c>
      <c r="AO238" s="1">
        <f>W238*J238*0.012</f>
        <v>9.106560000000001E-2</v>
      </c>
      <c r="AP238" s="1">
        <f>Z238*J238*0.012</f>
        <v>1.8422015999999999</v>
      </c>
      <c r="AQ238" s="1">
        <f>AA238*J238*0.012</f>
        <v>0.19657440000000001</v>
      </c>
      <c r="AR238" s="1">
        <f>AB238*J238*0.012</f>
        <v>24.120960000000004</v>
      </c>
      <c r="AS238" s="1">
        <f t="shared" si="125"/>
        <v>9.7919999999999993E-2</v>
      </c>
      <c r="AU238" s="13"/>
      <c r="AV238" s="13"/>
    </row>
    <row r="239" spans="1:50" x14ac:dyDescent="0.3">
      <c r="A239" s="5">
        <v>45366</v>
      </c>
      <c r="B239" s="12" t="s">
        <v>46</v>
      </c>
      <c r="C239" t="s">
        <v>355</v>
      </c>
      <c r="D239">
        <v>12</v>
      </c>
      <c r="E239" t="s">
        <v>356</v>
      </c>
      <c r="F239" s="11"/>
      <c r="G239" s="11"/>
      <c r="H239" t="s">
        <v>245</v>
      </c>
      <c r="J239" s="1">
        <v>8.3000000000000007</v>
      </c>
      <c r="K239" t="s">
        <v>96</v>
      </c>
      <c r="L239" s="83">
        <v>2.5499999999999998</v>
      </c>
      <c r="M239" s="43">
        <v>3.2</v>
      </c>
      <c r="N239" s="1">
        <v>908</v>
      </c>
      <c r="P239" s="31">
        <v>9.4</v>
      </c>
      <c r="Q239" s="1"/>
      <c r="R239" s="1">
        <v>0</v>
      </c>
      <c r="S239" s="1">
        <v>206</v>
      </c>
      <c r="T239" s="4">
        <f>(X239*1.79+Y239*2.68+5.56*Z239+1.82*AA239+50000*(10^-M239)-R239)</f>
        <v>199.38013722400959</v>
      </c>
      <c r="U239" s="1"/>
      <c r="V239" s="1"/>
      <c r="W239" s="1">
        <v>15.44</v>
      </c>
      <c r="X239" s="1">
        <v>0.60499999999999998</v>
      </c>
      <c r="Y239" s="4">
        <f t="shared" ref="Y239:Y240" si="127">IF(W239-X239&lt;0,0,W239-X239)</f>
        <v>14.834999999999999</v>
      </c>
      <c r="Z239" s="1">
        <v>22.56</v>
      </c>
      <c r="AA239" s="1">
        <v>0.85599999999999998</v>
      </c>
      <c r="AB239" s="1">
        <v>328.2</v>
      </c>
      <c r="AC239" s="1"/>
      <c r="AD239" s="1"/>
      <c r="AE239" s="1"/>
      <c r="AF239" s="1"/>
      <c r="AG239" s="1"/>
      <c r="AH239" s="1"/>
      <c r="AI239" s="1"/>
      <c r="AJ239" s="1"/>
      <c r="AK239" s="1" t="s">
        <v>363</v>
      </c>
      <c r="AL239" s="1">
        <v>554</v>
      </c>
      <c r="AM239" s="1"/>
      <c r="AN239" s="1">
        <f>S239*J239*0.012</f>
        <v>20.517600000000002</v>
      </c>
      <c r="AO239" s="1">
        <f>W239*J239*0.012</f>
        <v>1.5378240000000003</v>
      </c>
      <c r="AP239" s="1">
        <f>Z239*J239*0.012</f>
        <v>2.2469760000000001</v>
      </c>
      <c r="AQ239" s="1">
        <f>AA239*J239*0.012</f>
        <v>8.5257600000000017E-2</v>
      </c>
      <c r="AR239" s="1">
        <f>AB239*J239*0.012</f>
        <v>32.688720000000004</v>
      </c>
      <c r="AS239" s="1">
        <f t="shared" si="125"/>
        <v>0</v>
      </c>
      <c r="AU239" s="13"/>
      <c r="AV239" s="13"/>
    </row>
    <row r="240" spans="1:50" s="16" customFormat="1" x14ac:dyDescent="0.3">
      <c r="A240" s="24">
        <v>45392</v>
      </c>
      <c r="B240" s="25" t="s">
        <v>40</v>
      </c>
      <c r="C240" s="26" t="s">
        <v>355</v>
      </c>
      <c r="D240" s="26"/>
      <c r="E240" s="26" t="s">
        <v>356</v>
      </c>
      <c r="F240" s="27"/>
      <c r="G240" s="27"/>
      <c r="H240" s="26" t="s">
        <v>245</v>
      </c>
      <c r="I240" s="17"/>
      <c r="J240" s="9">
        <v>7.75</v>
      </c>
      <c r="K240" s="26" t="s">
        <v>96</v>
      </c>
      <c r="L240" s="93">
        <v>3.67</v>
      </c>
      <c r="M240" s="93">
        <v>4.5</v>
      </c>
      <c r="N240" s="14">
        <v>403</v>
      </c>
      <c r="O240" s="14"/>
      <c r="P240" s="98">
        <v>12.4</v>
      </c>
      <c r="Q240" s="14"/>
      <c r="R240" s="14">
        <v>9.4</v>
      </c>
      <c r="S240" s="14">
        <v>80.8</v>
      </c>
      <c r="T240" s="4">
        <f>(X240*1.79+Y240*2.68+5.56*Z240+1.82*AA240+50000*(10^-L240)-R240)</f>
        <v>110.78480044751113</v>
      </c>
      <c r="U240" s="14"/>
      <c r="V240" s="14"/>
      <c r="W240" s="9">
        <v>10.015000000000001</v>
      </c>
      <c r="X240" s="9">
        <v>1.325</v>
      </c>
      <c r="Y240" s="4">
        <f t="shared" si="127"/>
        <v>8.6900000000000013</v>
      </c>
      <c r="Z240" s="9">
        <v>14.936</v>
      </c>
      <c r="AA240" s="96">
        <v>0.434</v>
      </c>
      <c r="AB240" s="14">
        <v>183.2</v>
      </c>
      <c r="AC240" s="14"/>
      <c r="AD240" s="14"/>
      <c r="AE240" s="14"/>
      <c r="AF240" s="14"/>
      <c r="AG240" s="14"/>
      <c r="AH240" s="14"/>
      <c r="AI240" s="14"/>
      <c r="AJ240" s="14"/>
      <c r="AK240" s="9">
        <v>118</v>
      </c>
      <c r="AL240" s="14">
        <v>298</v>
      </c>
      <c r="AM240" s="14"/>
      <c r="AN240" s="9">
        <f>S240*J240*0.012</f>
        <v>7.5143999999999993</v>
      </c>
      <c r="AO240" s="9">
        <f>W240*J240*0.012</f>
        <v>0.93139500000000008</v>
      </c>
      <c r="AP240" s="9">
        <f>Z240*J240*0.012</f>
        <v>1.3890480000000001</v>
      </c>
      <c r="AQ240" s="9">
        <f>AA240*J240*0.012</f>
        <v>4.0362000000000002E-2</v>
      </c>
      <c r="AR240" s="9">
        <f>AB240*J240*0.012</f>
        <v>17.037600000000001</v>
      </c>
      <c r="AS240" s="9">
        <f t="shared" si="125"/>
        <v>0.87420000000000009</v>
      </c>
      <c r="AU240" s="97"/>
      <c r="AV240" s="97"/>
    </row>
    <row r="241" spans="1:50" s="16" customFormat="1" x14ac:dyDescent="0.3">
      <c r="A241" s="24">
        <v>45442</v>
      </c>
      <c r="B241" s="25"/>
      <c r="C241" t="s">
        <v>355</v>
      </c>
      <c r="D241"/>
      <c r="E241" t="s">
        <v>356</v>
      </c>
      <c r="F241" s="11"/>
      <c r="G241" s="11"/>
      <c r="H241" t="s">
        <v>245</v>
      </c>
      <c r="I241" s="17"/>
      <c r="J241" s="26">
        <v>0</v>
      </c>
      <c r="K241" s="9" t="s">
        <v>366</v>
      </c>
      <c r="L241" s="93"/>
      <c r="M241" s="93"/>
      <c r="N241" s="14"/>
      <c r="O241" s="14"/>
      <c r="P241" s="98"/>
      <c r="Q241" s="14"/>
      <c r="R241" s="14"/>
      <c r="S241" s="14"/>
      <c r="T241" s="10"/>
      <c r="U241" s="14"/>
      <c r="V241" s="14"/>
      <c r="W241" s="9"/>
      <c r="X241" s="9"/>
      <c r="Y241" s="9"/>
      <c r="Z241" s="9"/>
      <c r="AA241" s="96"/>
      <c r="AB241" s="14"/>
      <c r="AC241" s="14"/>
      <c r="AD241" s="14"/>
      <c r="AE241" s="14"/>
      <c r="AF241" s="14"/>
      <c r="AG241" s="14"/>
      <c r="AH241" s="14"/>
      <c r="AI241" s="14"/>
      <c r="AJ241" s="14"/>
      <c r="AK241" s="9"/>
      <c r="AL241" s="14"/>
      <c r="AM241" s="14"/>
      <c r="AN241" s="9"/>
      <c r="AO241" s="9"/>
      <c r="AP241" s="9"/>
      <c r="AQ241" s="9"/>
      <c r="AR241" s="9"/>
      <c r="AS241" s="9"/>
      <c r="AU241" s="97"/>
      <c r="AV241" s="97"/>
    </row>
    <row r="242" spans="1:50" s="16" customFormat="1" x14ac:dyDescent="0.3">
      <c r="A242" s="24">
        <v>45527</v>
      </c>
      <c r="B242" s="25"/>
      <c r="C242" s="26" t="s">
        <v>355</v>
      </c>
      <c r="D242" s="26"/>
      <c r="E242" s="26" t="s">
        <v>356</v>
      </c>
      <c r="F242" s="11"/>
      <c r="G242" s="11"/>
      <c r="H242" t="s">
        <v>371</v>
      </c>
      <c r="I242" s="17"/>
      <c r="J242" s="26"/>
      <c r="K242" s="9" t="s">
        <v>372</v>
      </c>
      <c r="L242" s="93"/>
      <c r="M242" s="93"/>
      <c r="N242" s="14"/>
      <c r="O242" s="14"/>
      <c r="P242" s="98"/>
      <c r="Q242" s="14"/>
      <c r="R242" s="14"/>
      <c r="S242" s="14"/>
      <c r="T242" s="10"/>
      <c r="U242" s="14"/>
      <c r="V242" s="14"/>
      <c r="W242" s="9"/>
      <c r="X242" s="9"/>
      <c r="Y242" s="9"/>
      <c r="Z242" s="9"/>
      <c r="AA242" s="96"/>
      <c r="AB242" s="14"/>
      <c r="AC242" s="14"/>
      <c r="AD242" s="14"/>
      <c r="AE242" s="14"/>
      <c r="AF242" s="14"/>
      <c r="AG242" s="14"/>
      <c r="AH242" s="14"/>
      <c r="AI242" s="14"/>
      <c r="AJ242" s="14"/>
      <c r="AK242" s="9"/>
      <c r="AL242" s="14"/>
      <c r="AM242" s="14"/>
      <c r="AN242" s="9">
        <v>0</v>
      </c>
      <c r="AO242" s="9">
        <v>0</v>
      </c>
      <c r="AP242" s="9">
        <v>0</v>
      </c>
      <c r="AQ242" s="9">
        <v>0</v>
      </c>
      <c r="AR242" s="9">
        <v>0</v>
      </c>
      <c r="AS242" s="9">
        <v>0</v>
      </c>
      <c r="AU242" s="97"/>
      <c r="AV242" s="97"/>
    </row>
    <row r="243" spans="1:50" s="16" customFormat="1" x14ac:dyDescent="0.3">
      <c r="A243" s="24">
        <v>45548</v>
      </c>
      <c r="B243" s="25"/>
      <c r="C243" t="s">
        <v>355</v>
      </c>
      <c r="D243"/>
      <c r="E243" t="s">
        <v>356</v>
      </c>
      <c r="F243" s="11"/>
      <c r="G243" s="11"/>
      <c r="H243" t="s">
        <v>245</v>
      </c>
      <c r="I243" s="17"/>
      <c r="J243" s="26"/>
      <c r="K243" s="9" t="s">
        <v>376</v>
      </c>
      <c r="L243" s="93"/>
      <c r="M243" s="93"/>
      <c r="N243" s="14"/>
      <c r="O243" s="14"/>
      <c r="P243" s="98"/>
      <c r="Q243" s="14"/>
      <c r="R243" s="14"/>
      <c r="S243" s="14"/>
      <c r="T243" s="10"/>
      <c r="U243" s="14"/>
      <c r="V243" s="14"/>
      <c r="W243" s="9"/>
      <c r="X243" s="9"/>
      <c r="Y243" s="9"/>
      <c r="Z243" s="9"/>
      <c r="AA243" s="96"/>
      <c r="AB243" s="14"/>
      <c r="AC243" s="14"/>
      <c r="AD243" s="14"/>
      <c r="AE243" s="14"/>
      <c r="AF243" s="14"/>
      <c r="AG243" s="14"/>
      <c r="AH243" s="14"/>
      <c r="AI243" s="14"/>
      <c r="AJ243" s="14"/>
      <c r="AK243" s="9"/>
      <c r="AL243" s="14"/>
      <c r="AM243" s="14"/>
      <c r="AN243" s="9"/>
      <c r="AO243" s="9"/>
      <c r="AP243" s="9"/>
      <c r="AQ243" s="9"/>
      <c r="AR243" s="9"/>
      <c r="AS243" s="9"/>
      <c r="AU243" s="97"/>
      <c r="AV243" s="97"/>
    </row>
    <row r="244" spans="1:50" s="7" customFormat="1" x14ac:dyDescent="0.3">
      <c r="A244" s="45" t="s">
        <v>144</v>
      </c>
      <c r="B244" s="46"/>
      <c r="F244" s="47"/>
      <c r="G244" s="47"/>
      <c r="I244" s="15"/>
      <c r="J244" s="20">
        <f t="shared" ref="J244:X244" si="128">AVERAGE(J238:J243)</f>
        <v>5.7125000000000004</v>
      </c>
      <c r="K244" s="20" t="e">
        <f t="shared" si="128"/>
        <v>#DIV/0!</v>
      </c>
      <c r="L244" s="20">
        <f t="shared" si="128"/>
        <v>3.3166666666666664</v>
      </c>
      <c r="M244" s="20">
        <f t="shared" si="128"/>
        <v>3.9</v>
      </c>
      <c r="N244" s="20">
        <f t="shared" si="128"/>
        <v>744</v>
      </c>
      <c r="O244" s="20" t="e">
        <f t="shared" si="128"/>
        <v>#DIV/0!</v>
      </c>
      <c r="P244" s="20">
        <f t="shared" si="128"/>
        <v>8.7000000000000011</v>
      </c>
      <c r="Q244" s="20" t="e">
        <f t="shared" si="128"/>
        <v>#DIV/0!</v>
      </c>
      <c r="R244" s="20">
        <f t="shared" si="128"/>
        <v>3.5333333333333332</v>
      </c>
      <c r="S244" s="20">
        <f t="shared" si="128"/>
        <v>144.06666666666666</v>
      </c>
      <c r="T244" s="20">
        <f t="shared" si="128"/>
        <v>150.33380778494501</v>
      </c>
      <c r="U244" s="20" t="e">
        <f t="shared" si="128"/>
        <v>#DIV/0!</v>
      </c>
      <c r="V244" s="20" t="e">
        <f t="shared" si="128"/>
        <v>#DIV/0!</v>
      </c>
      <c r="W244" s="20">
        <f t="shared" si="128"/>
        <v>8.8570000000000011</v>
      </c>
      <c r="X244" s="20">
        <f t="shared" si="128"/>
        <v>0.70766666666666678</v>
      </c>
      <c r="Y244" s="20"/>
      <c r="Z244" s="20">
        <f>AVERAGE(Z238:Z243)</f>
        <v>20.023999999999997</v>
      </c>
      <c r="AA244" s="20">
        <f>AVERAGE(AA238:AA243)</f>
        <v>1.2329999999999999</v>
      </c>
      <c r="AB244" s="20">
        <f>AVERAGE(AB238:AB243)</f>
        <v>269</v>
      </c>
      <c r="AC244" s="20"/>
      <c r="AD244" s="20"/>
      <c r="AE244" s="20"/>
      <c r="AF244" s="20"/>
      <c r="AG244" s="20"/>
      <c r="AH244" s="20"/>
      <c r="AI244" s="20"/>
      <c r="AJ244" s="20"/>
      <c r="AK244" s="20">
        <f>AVERAGE(AK238:AK243)</f>
        <v>118</v>
      </c>
      <c r="AL244" s="20">
        <f>AVERAGE(AL238:AL243)</f>
        <v>522</v>
      </c>
      <c r="AM244" s="20"/>
      <c r="AN244" s="20">
        <f t="shared" ref="AN244:AS244" si="129">AVERAGE(AN238:AN243)</f>
        <v>9.9741600000000012</v>
      </c>
      <c r="AO244" s="20">
        <f t="shared" si="129"/>
        <v>0.64007115000000014</v>
      </c>
      <c r="AP244" s="20">
        <f t="shared" si="129"/>
        <v>1.3695564</v>
      </c>
      <c r="AQ244" s="20">
        <f t="shared" si="129"/>
        <v>8.0548500000000009E-2</v>
      </c>
      <c r="AR244" s="20">
        <f t="shared" si="129"/>
        <v>18.461820000000003</v>
      </c>
      <c r="AS244" s="20">
        <f t="shared" si="129"/>
        <v>0.24303000000000002</v>
      </c>
      <c r="AU244" s="48"/>
      <c r="AV244" s="48"/>
    </row>
    <row r="245" spans="1:50" x14ac:dyDescent="0.3">
      <c r="F245" s="11"/>
      <c r="G245" s="11"/>
      <c r="L245" s="43"/>
      <c r="M245" s="43"/>
      <c r="P245" s="31"/>
      <c r="Q245" s="1"/>
      <c r="R245" s="1"/>
      <c r="S245" s="1"/>
      <c r="T245" s="1"/>
      <c r="U245" s="1"/>
      <c r="V245" s="1"/>
      <c r="W245" s="1"/>
      <c r="X245" s="1"/>
      <c r="Y245" s="1"/>
      <c r="Z245" s="1"/>
      <c r="AA245" s="1"/>
      <c r="AB245" s="1"/>
      <c r="AC245" s="1"/>
      <c r="AD245" s="1"/>
      <c r="AE245" s="1"/>
      <c r="AF245" s="1"/>
      <c r="AG245" s="1"/>
      <c r="AH245" s="1"/>
      <c r="AI245" s="1"/>
      <c r="AJ245" s="1"/>
      <c r="AK245" s="1"/>
      <c r="AL245" s="1"/>
      <c r="AM245" s="1"/>
      <c r="AU245" s="13"/>
      <c r="AV245" s="13"/>
    </row>
    <row r="246" spans="1:50" x14ac:dyDescent="0.3">
      <c r="A246" s="5">
        <v>45366</v>
      </c>
      <c r="B246" s="12" t="s">
        <v>58</v>
      </c>
      <c r="C246" t="s">
        <v>357</v>
      </c>
      <c r="D246">
        <v>17</v>
      </c>
      <c r="E246" t="s">
        <v>358</v>
      </c>
      <c r="F246" s="11"/>
      <c r="G246" s="11"/>
      <c r="H246" t="s">
        <v>245</v>
      </c>
      <c r="J246" s="1">
        <v>2.5</v>
      </c>
      <c r="K246" t="s">
        <v>96</v>
      </c>
      <c r="L246" s="93">
        <v>3.48</v>
      </c>
      <c r="M246" s="43">
        <v>4.3</v>
      </c>
      <c r="N246" s="1">
        <v>915</v>
      </c>
      <c r="P246" s="31">
        <v>9</v>
      </c>
      <c r="Q246" s="1"/>
      <c r="R246" s="1">
        <v>8.6</v>
      </c>
      <c r="S246" s="1">
        <v>199.4</v>
      </c>
      <c r="T246" s="4">
        <f>(X246*1.79+Y246*2.68+5.56*Z246+1.82*AA246+50000*(10^-L246)-R246)</f>
        <v>192.71089607412952</v>
      </c>
      <c r="U246" s="1"/>
      <c r="V246" s="1"/>
      <c r="W246" s="1">
        <v>1.847</v>
      </c>
      <c r="X246" s="1">
        <v>0.314</v>
      </c>
      <c r="Y246" s="4">
        <f t="shared" ref="Y246:Y249" si="130">IF(W246-X246&lt;0,0,W246-X246)</f>
        <v>1.5329999999999999</v>
      </c>
      <c r="Z246" s="1">
        <v>32.125999999999998</v>
      </c>
      <c r="AA246" s="1">
        <v>0.80400000000000005</v>
      </c>
      <c r="AB246" s="1">
        <v>464.7</v>
      </c>
      <c r="AC246" s="1"/>
      <c r="AD246" s="1"/>
      <c r="AE246" s="1"/>
      <c r="AF246" s="1"/>
      <c r="AG246" s="1"/>
      <c r="AH246" s="1"/>
      <c r="AI246" s="1"/>
      <c r="AJ246" s="1"/>
      <c r="AK246" s="1" t="s">
        <v>363</v>
      </c>
      <c r="AL246" s="1">
        <v>802</v>
      </c>
      <c r="AM246" s="1"/>
      <c r="AN246" s="1">
        <f>S246*J246*0.012</f>
        <v>5.9820000000000002</v>
      </c>
      <c r="AO246" s="1">
        <f>W246*J246*0.012</f>
        <v>5.5410000000000001E-2</v>
      </c>
      <c r="AP246" s="1">
        <f>Z246*J246*0.012</f>
        <v>0.96377999999999997</v>
      </c>
      <c r="AQ246" s="1">
        <f>AA246*J246*0.012</f>
        <v>2.4120000000000003E-2</v>
      </c>
      <c r="AR246" s="1">
        <f>AB246*J246*0.012</f>
        <v>13.941000000000001</v>
      </c>
      <c r="AS246" s="1">
        <f t="shared" si="125"/>
        <v>0.25800000000000001</v>
      </c>
      <c r="AU246" s="13"/>
      <c r="AV246" s="13"/>
    </row>
    <row r="247" spans="1:50" x14ac:dyDescent="0.3">
      <c r="A247" s="5">
        <v>45392</v>
      </c>
      <c r="B247" s="12" t="s">
        <v>43</v>
      </c>
      <c r="C247" t="s">
        <v>357</v>
      </c>
      <c r="E247" t="s">
        <v>358</v>
      </c>
      <c r="F247" s="11"/>
      <c r="G247" s="11"/>
      <c r="H247" t="s">
        <v>245</v>
      </c>
      <c r="J247" s="1">
        <v>2.9</v>
      </c>
      <c r="K247" t="s">
        <v>96</v>
      </c>
      <c r="L247" s="93">
        <v>3.78</v>
      </c>
      <c r="M247" s="43">
        <v>4.0999999999999996</v>
      </c>
      <c r="N247" s="1">
        <v>869</v>
      </c>
      <c r="P247" s="31">
        <v>10</v>
      </c>
      <c r="Q247" s="1"/>
      <c r="R247" s="1">
        <v>6.2</v>
      </c>
      <c r="S247" s="1">
        <v>152.80000000000001</v>
      </c>
      <c r="T247" s="4">
        <f t="shared" ref="T247:T248" si="131">(X247*1.79+Y247*2.68+5.56*Z247+1.82*AA247+50000*(10^-L247)-R247)</f>
        <v>161.56119453718776</v>
      </c>
      <c r="U247" s="1"/>
      <c r="V247" s="1"/>
      <c r="W247" s="1">
        <v>8.7799999999999994</v>
      </c>
      <c r="X247" s="1">
        <v>0.84399999999999997</v>
      </c>
      <c r="Y247" s="4">
        <f t="shared" si="130"/>
        <v>7.9359999999999991</v>
      </c>
      <c r="Z247" s="1">
        <v>24.39</v>
      </c>
      <c r="AA247" s="1">
        <v>0.59099999999999997</v>
      </c>
      <c r="AB247" s="1">
        <v>354.2</v>
      </c>
      <c r="AC247" s="1"/>
      <c r="AD247" s="1"/>
      <c r="AE247" s="1"/>
      <c r="AF247" s="1"/>
      <c r="AG247" s="1"/>
      <c r="AH247" s="1"/>
      <c r="AI247" s="1"/>
      <c r="AJ247" s="1"/>
      <c r="AK247" s="1">
        <v>58</v>
      </c>
      <c r="AL247" s="1">
        <v>570</v>
      </c>
      <c r="AM247" s="1"/>
      <c r="AN247" s="1">
        <f>S247*J247*0.012</f>
        <v>5.3174400000000004</v>
      </c>
      <c r="AO247" s="1">
        <f>W247*J247*0.012</f>
        <v>0.30554399999999998</v>
      </c>
      <c r="AP247" s="1">
        <f>Z247*J247*0.012</f>
        <v>0.84877199999999997</v>
      </c>
      <c r="AQ247" s="1">
        <f>AA247*J247*0.012</f>
        <v>2.0566799999999996E-2</v>
      </c>
      <c r="AR247" s="1">
        <f>AB247*J247*0.012</f>
        <v>12.326159999999998</v>
      </c>
      <c r="AS247" s="1">
        <f t="shared" si="125"/>
        <v>0.21576000000000001</v>
      </c>
      <c r="AU247" s="13"/>
      <c r="AV247" s="13"/>
    </row>
    <row r="248" spans="1:50" x14ac:dyDescent="0.3">
      <c r="A248" s="5">
        <v>45442</v>
      </c>
      <c r="B248" s="12" t="s">
        <v>43</v>
      </c>
      <c r="C248" t="s">
        <v>357</v>
      </c>
      <c r="E248" t="s">
        <v>358</v>
      </c>
      <c r="F248" s="11"/>
      <c r="G248" s="11"/>
      <c r="H248" t="s">
        <v>245</v>
      </c>
      <c r="J248" s="1">
        <v>0.75</v>
      </c>
      <c r="K248" t="s">
        <v>96</v>
      </c>
      <c r="L248" s="93">
        <v>3.57</v>
      </c>
      <c r="M248" s="43">
        <v>3.7</v>
      </c>
      <c r="N248" s="1">
        <v>1213</v>
      </c>
      <c r="P248" s="31">
        <v>15.2</v>
      </c>
      <c r="Q248" s="1"/>
      <c r="R248" s="1">
        <v>0</v>
      </c>
      <c r="S248" s="1">
        <v>349.2</v>
      </c>
      <c r="T248" s="4">
        <f t="shared" si="131"/>
        <v>300.6074440196345</v>
      </c>
      <c r="U248" s="1"/>
      <c r="V248" s="1"/>
      <c r="W248" s="1">
        <v>1.4410000000000001</v>
      </c>
      <c r="X248" s="1">
        <v>0.377</v>
      </c>
      <c r="Y248" s="4">
        <f t="shared" si="130"/>
        <v>1.0640000000000001</v>
      </c>
      <c r="Z248" s="1">
        <v>50.16</v>
      </c>
      <c r="AA248" s="1">
        <v>2.601</v>
      </c>
      <c r="AB248" s="1">
        <v>640.29999999999995</v>
      </c>
      <c r="AC248" s="1"/>
      <c r="AD248" s="1"/>
      <c r="AE248" s="1"/>
      <c r="AF248" s="1"/>
      <c r="AG248" s="1"/>
      <c r="AH248" s="1"/>
      <c r="AI248" s="1"/>
      <c r="AJ248" s="1"/>
      <c r="AK248" s="1" t="s">
        <v>363</v>
      </c>
      <c r="AL248" s="1">
        <v>1218</v>
      </c>
      <c r="AM248" s="1"/>
      <c r="AN248" s="1">
        <f>S248*J248*0.012</f>
        <v>3.1427999999999998</v>
      </c>
      <c r="AO248" s="1">
        <f>W248*J248*0.012</f>
        <v>1.2969000000000001E-2</v>
      </c>
      <c r="AP248" s="1">
        <f>Z248*J248*0.012</f>
        <v>0.45143999999999995</v>
      </c>
      <c r="AQ248" s="1">
        <f>AA248*J248*0.012</f>
        <v>2.3408999999999999E-2</v>
      </c>
      <c r="AR248" s="1">
        <f>AB248*J248*0.012</f>
        <v>5.7626999999999997</v>
      </c>
      <c r="AS248" s="1">
        <f t="shared" ref="AS248" si="132">0.012*R248*J248</f>
        <v>0</v>
      </c>
      <c r="AU248" s="13"/>
      <c r="AV248" s="13"/>
    </row>
    <row r="249" spans="1:50" x14ac:dyDescent="0.3">
      <c r="A249" s="5">
        <v>45527</v>
      </c>
      <c r="C249" t="s">
        <v>357</v>
      </c>
      <c r="E249" t="s">
        <v>358</v>
      </c>
      <c r="F249" s="11"/>
      <c r="G249" s="11"/>
      <c r="H249" t="s">
        <v>371</v>
      </c>
      <c r="J249" s="1">
        <v>0.5</v>
      </c>
      <c r="K249" t="s">
        <v>106</v>
      </c>
      <c r="L249" s="93">
        <v>3.77</v>
      </c>
      <c r="M249" s="93">
        <v>4</v>
      </c>
      <c r="N249" s="1">
        <v>1535</v>
      </c>
      <c r="P249" s="31">
        <v>16.3</v>
      </c>
      <c r="Q249" s="1"/>
      <c r="R249" s="9">
        <v>1.8</v>
      </c>
      <c r="S249" s="9">
        <v>247</v>
      </c>
      <c r="T249" s="4">
        <f>(X249*1.79+Y249*2.68+5.56*Z249+1.82*AA249+50000*(10^-L249)-R249)</f>
        <v>214.83743826230867</v>
      </c>
      <c r="U249" s="1"/>
      <c r="V249" s="1"/>
      <c r="W249" s="9">
        <v>3.258</v>
      </c>
      <c r="X249" s="9">
        <v>0.56200000000000006</v>
      </c>
      <c r="Y249" s="4">
        <f t="shared" si="130"/>
        <v>2.6959999999999997</v>
      </c>
      <c r="Z249" s="9">
        <v>35.042000000000002</v>
      </c>
      <c r="AA249" s="9">
        <v>2.7919999999999998</v>
      </c>
      <c r="AB249" s="9">
        <v>684</v>
      </c>
      <c r="AC249" s="1"/>
      <c r="AD249" s="1"/>
      <c r="AE249" s="1"/>
      <c r="AF249" s="1"/>
      <c r="AG249" s="1"/>
      <c r="AH249" s="1"/>
      <c r="AI249" s="1"/>
      <c r="AJ249" s="1"/>
      <c r="AK249" s="1" t="s">
        <v>363</v>
      </c>
      <c r="AL249" s="9">
        <v>1084</v>
      </c>
      <c r="AM249" s="1"/>
      <c r="AN249" s="1">
        <f>S249*J249*0.012</f>
        <v>1.482</v>
      </c>
      <c r="AO249" s="1">
        <f>W249*J249*0.012</f>
        <v>1.9547999999999999E-2</v>
      </c>
      <c r="AP249" s="1">
        <f>Z249*J249*0.012</f>
        <v>0.21025200000000002</v>
      </c>
      <c r="AQ249" s="1">
        <f>AA249*J249*0.012</f>
        <v>1.6752E-2</v>
      </c>
      <c r="AR249" s="1">
        <f>AB249*J249*0.012</f>
        <v>4.1040000000000001</v>
      </c>
      <c r="AS249" s="1">
        <f t="shared" ref="AS249" si="133">0.012*R249*J249</f>
        <v>1.0800000000000001E-2</v>
      </c>
      <c r="AU249" s="13"/>
      <c r="AV249" s="13"/>
    </row>
    <row r="250" spans="1:50" x14ac:dyDescent="0.3">
      <c r="A250" s="5">
        <v>45548</v>
      </c>
      <c r="C250" t="s">
        <v>357</v>
      </c>
      <c r="E250" t="s">
        <v>358</v>
      </c>
      <c r="F250" s="11"/>
      <c r="G250" s="11"/>
      <c r="H250" t="s">
        <v>245</v>
      </c>
      <c r="K250" t="s">
        <v>376</v>
      </c>
      <c r="L250" s="93"/>
      <c r="M250" s="43"/>
      <c r="P250" s="31"/>
      <c r="Q250" s="1"/>
      <c r="R250" s="1"/>
      <c r="S250" s="1"/>
      <c r="U250" s="1"/>
      <c r="V250" s="1"/>
      <c r="W250" s="1"/>
      <c r="X250" s="1"/>
      <c r="Y250" s="1"/>
      <c r="Z250" s="1"/>
      <c r="AA250" s="1"/>
      <c r="AB250" s="1"/>
      <c r="AC250" s="1"/>
      <c r="AD250" s="1"/>
      <c r="AE250" s="1"/>
      <c r="AF250" s="1"/>
      <c r="AG250" s="1"/>
      <c r="AH250" s="1"/>
      <c r="AI250" s="1"/>
      <c r="AJ250" s="1"/>
      <c r="AK250" s="1"/>
      <c r="AL250" s="1"/>
      <c r="AM250" s="1"/>
      <c r="AU250" s="13"/>
      <c r="AV250" s="13"/>
    </row>
    <row r="251" spans="1:50" s="7" customFormat="1" x14ac:dyDescent="0.3">
      <c r="A251" s="45" t="s">
        <v>144</v>
      </c>
      <c r="B251" s="46"/>
      <c r="F251" s="47"/>
      <c r="G251" s="47"/>
      <c r="I251" s="15"/>
      <c r="J251" s="20">
        <f t="shared" ref="J251:X251" si="134">AVERAGE(J246:J250)</f>
        <v>1.6625000000000001</v>
      </c>
      <c r="K251" s="20" t="e">
        <f t="shared" si="134"/>
        <v>#DIV/0!</v>
      </c>
      <c r="L251" s="20">
        <f t="shared" si="134"/>
        <v>3.65</v>
      </c>
      <c r="M251" s="20">
        <f t="shared" si="134"/>
        <v>4.0249999999999995</v>
      </c>
      <c r="N251" s="20">
        <f t="shared" si="134"/>
        <v>1133</v>
      </c>
      <c r="O251" s="20" t="e">
        <f t="shared" si="134"/>
        <v>#DIV/0!</v>
      </c>
      <c r="P251" s="20">
        <f t="shared" si="134"/>
        <v>12.625</v>
      </c>
      <c r="Q251" s="20" t="e">
        <f t="shared" si="134"/>
        <v>#DIV/0!</v>
      </c>
      <c r="R251" s="20">
        <f t="shared" si="134"/>
        <v>4.1500000000000004</v>
      </c>
      <c r="S251" s="20">
        <f t="shared" si="134"/>
        <v>237.10000000000002</v>
      </c>
      <c r="T251" s="20">
        <f t="shared" si="134"/>
        <v>217.4292432233151</v>
      </c>
      <c r="U251" s="20" t="e">
        <f t="shared" si="134"/>
        <v>#DIV/0!</v>
      </c>
      <c r="V251" s="20" t="e">
        <f t="shared" si="134"/>
        <v>#DIV/0!</v>
      </c>
      <c r="W251" s="20">
        <f t="shared" si="134"/>
        <v>3.8315000000000001</v>
      </c>
      <c r="X251" s="20">
        <f t="shared" si="134"/>
        <v>0.52424999999999999</v>
      </c>
      <c r="Y251" s="20"/>
      <c r="Z251" s="20">
        <f>AVERAGE(Z246:Z250)</f>
        <v>35.429499999999997</v>
      </c>
      <c r="AA251" s="20">
        <f>AVERAGE(AA246:AA250)</f>
        <v>1.6970000000000001</v>
      </c>
      <c r="AB251" s="20">
        <f>AVERAGE(AB246:AB250)</f>
        <v>535.79999999999995</v>
      </c>
      <c r="AC251" s="20"/>
      <c r="AD251" s="20"/>
      <c r="AE251" s="20"/>
      <c r="AF251" s="20"/>
      <c r="AG251" s="20"/>
      <c r="AH251" s="20"/>
      <c r="AI251" s="20"/>
      <c r="AJ251" s="20"/>
      <c r="AK251" s="20">
        <f>AVERAGE(AK246:AK250)</f>
        <v>58</v>
      </c>
      <c r="AL251" s="20">
        <f>AVERAGE(AL246:AL250)</f>
        <v>918.5</v>
      </c>
      <c r="AM251" s="20"/>
      <c r="AN251" s="20">
        <f t="shared" ref="AN251:AS251" si="135">AVERAGE(AN246:AN250)</f>
        <v>3.9810599999999998</v>
      </c>
      <c r="AO251" s="20">
        <f t="shared" si="135"/>
        <v>9.8367750000000004E-2</v>
      </c>
      <c r="AP251" s="20">
        <f t="shared" si="135"/>
        <v>0.61856100000000003</v>
      </c>
      <c r="AQ251" s="20">
        <f t="shared" si="135"/>
        <v>2.121195E-2</v>
      </c>
      <c r="AR251" s="20">
        <f t="shared" si="135"/>
        <v>9.0334649999999996</v>
      </c>
      <c r="AS251" s="20">
        <f t="shared" si="135"/>
        <v>0.12114</v>
      </c>
      <c r="AT251" s="20"/>
      <c r="AU251" s="20"/>
      <c r="AV251" s="20"/>
      <c r="AW251" s="20"/>
      <c r="AX251" s="20"/>
    </row>
    <row r="252" spans="1:50" x14ac:dyDescent="0.3">
      <c r="F252" s="11"/>
      <c r="G252" s="11"/>
      <c r="AD252" s="8"/>
      <c r="AE252" s="8"/>
      <c r="AU252" s="13"/>
      <c r="AV252" s="13"/>
    </row>
    <row r="253" spans="1:50" x14ac:dyDescent="0.3">
      <c r="A253" s="5">
        <v>35998</v>
      </c>
      <c r="C253" t="s">
        <v>188</v>
      </c>
      <c r="E253" t="s">
        <v>36</v>
      </c>
      <c r="F253" s="11"/>
      <c r="G253" s="11"/>
      <c r="H253" t="s">
        <v>175</v>
      </c>
      <c r="J253" s="1">
        <v>13215.59</v>
      </c>
      <c r="M253" s="2">
        <v>7.6</v>
      </c>
      <c r="Q253" s="4">
        <v>118</v>
      </c>
      <c r="W253" s="3">
        <v>1.92</v>
      </c>
      <c r="X253" s="3">
        <v>0.14000000000000001</v>
      </c>
      <c r="Z253" s="3">
        <v>0.78</v>
      </c>
      <c r="AA253" s="3">
        <v>0.16</v>
      </c>
      <c r="AB253" s="4">
        <v>127</v>
      </c>
      <c r="AD253" s="8"/>
      <c r="AE253" s="8"/>
      <c r="AU253" s="13"/>
      <c r="AV253" s="13"/>
    </row>
    <row r="254" spans="1:50" x14ac:dyDescent="0.3">
      <c r="A254" s="5">
        <v>44845</v>
      </c>
      <c r="B254" s="12" t="s">
        <v>34</v>
      </c>
      <c r="C254" t="s">
        <v>35</v>
      </c>
      <c r="E254" t="s">
        <v>36</v>
      </c>
      <c r="F254" s="11">
        <v>40.672021999999998</v>
      </c>
      <c r="G254" s="11">
        <v>-79.002600000000001</v>
      </c>
      <c r="H254" t="s">
        <v>92</v>
      </c>
      <c r="I254" s="2">
        <v>3.7</v>
      </c>
      <c r="J254" s="1">
        <v>6994</v>
      </c>
      <c r="K254" t="s">
        <v>96</v>
      </c>
      <c r="L254" s="2">
        <v>7.62</v>
      </c>
      <c r="M254" s="2">
        <v>7.6</v>
      </c>
      <c r="N254" s="1">
        <v>407</v>
      </c>
      <c r="O254" s="1">
        <v>410</v>
      </c>
      <c r="P254" s="3">
        <v>10.6</v>
      </c>
      <c r="Q254" s="4">
        <v>93</v>
      </c>
      <c r="R254" s="4">
        <v>91.8</v>
      </c>
      <c r="S254" s="4">
        <v>-78.2</v>
      </c>
      <c r="T254" s="4" cm="1">
        <f t="array" ref="T254">_xlfn.IFS(L254&lt;=5,IF(ISNUMBER(X254)=TRUE,X254*1.79+AA254*1.8+Z254*5.56+50000*(10^-L254)-Q254,1.79+AA254*1.8+Z254*5.56+50000*(10^-L254)-Q254),L254&gt;5,IF(ISNUMBER(X254)=TRUE,X254*1.79+AA254*1.8+50000*(10^-L254)-Q254,AA254*1.8+50000*(10^-L254)-Q254))</f>
        <v>-92.304070583540494</v>
      </c>
      <c r="U254" s="2">
        <v>10.029999999999999</v>
      </c>
      <c r="V254" s="2">
        <v>90.2</v>
      </c>
      <c r="W254" s="3">
        <v>1.7370000000000001</v>
      </c>
      <c r="X254" s="3">
        <v>0.187</v>
      </c>
      <c r="Z254" s="3">
        <v>0.59</v>
      </c>
      <c r="AA254" s="3">
        <v>0.2</v>
      </c>
      <c r="AB254" s="4">
        <v>99.55</v>
      </c>
      <c r="AC254" s="3">
        <v>37.35</v>
      </c>
      <c r="AD254" s="8">
        <v>10.55</v>
      </c>
      <c r="AE254" s="8">
        <v>32.79</v>
      </c>
      <c r="AF254" s="3">
        <v>2</v>
      </c>
      <c r="AG254" s="3">
        <v>9.9</v>
      </c>
      <c r="AH254" s="2" t="s">
        <v>161</v>
      </c>
      <c r="AI254" s="2" t="s">
        <v>162</v>
      </c>
      <c r="AJ254" s="3" t="s">
        <v>159</v>
      </c>
      <c r="AN254" s="1">
        <f>S254*J254*0.012</f>
        <v>-6563.1696000000011</v>
      </c>
      <c r="AO254" s="1">
        <f>W254*J254*0.012</f>
        <v>145.78293600000001</v>
      </c>
      <c r="AP254" s="1">
        <f>Z254*J254*0.012</f>
        <v>49.517520000000005</v>
      </c>
      <c r="AQ254" s="1">
        <f>AA254*J254*0.012</f>
        <v>16.785600000000002</v>
      </c>
      <c r="AR254" s="1">
        <f>AB254*J254*0.012</f>
        <v>8355.0324000000001</v>
      </c>
      <c r="AS254" s="1">
        <f t="shared" si="125"/>
        <v>7704.5903999999991</v>
      </c>
      <c r="AU254" s="13" t="str">
        <f>CONCATENATE(TEXT(ROUNDDOWN(ABS(F254),0),"00"),"° ",TEXT(ROUNDDOWN(ABS((F254-ROUNDDOWN(F254,0))*60),0),"00"),"' ",TEXT(TRUNC((ABS((F254-ROUNDDOWN(F254,0))*60)-ROUNDDOWN(ABS((F254-ROUNDDOWN(F254,0))*60),0))*60,2),"00.00"),"""",IF(F254&lt;0," S"," N"))</f>
        <v>40° 40' 19.27" N</v>
      </c>
      <c r="AV254" s="13" t="str">
        <f>CONCATENATE(TEXT(ROUNDDOWN(ABS(G254),0),"000"),"° ",TEXT(ROUNDDOWN(ABS((G254-ROUNDDOWN(G254,0))*60),0),"00"),"' ",TEXT(TRUNC((ABS((G254-ROUNDDOWN(G254,0))*60)-ROUNDDOWN(ABS((G254-ROUNDDOWN(G254,0))*60),0))*60,2),"00.00"),"""",IF(G254&lt;0," W"," E"))</f>
        <v>079° 00' 09.36" W</v>
      </c>
    </row>
    <row r="255" spans="1:50" x14ac:dyDescent="0.3">
      <c r="A255" s="5">
        <v>44903</v>
      </c>
      <c r="B255" s="12" t="s">
        <v>34</v>
      </c>
      <c r="C255" t="s">
        <v>35</v>
      </c>
      <c r="E255" t="s">
        <v>36</v>
      </c>
      <c r="F255" s="11">
        <v>40.672021999999998</v>
      </c>
      <c r="G255" s="11">
        <v>-79.002600000000001</v>
      </c>
      <c r="H255" t="s">
        <v>92</v>
      </c>
      <c r="I255" s="2">
        <v>3.7</v>
      </c>
      <c r="J255" s="1">
        <v>22379</v>
      </c>
      <c r="K255" t="s">
        <v>96</v>
      </c>
      <c r="L255" s="2">
        <v>7.43</v>
      </c>
      <c r="M255" s="2">
        <v>7.2</v>
      </c>
      <c r="N255" s="1">
        <v>239.1</v>
      </c>
      <c r="O255" s="1">
        <v>244</v>
      </c>
      <c r="P255" s="3">
        <v>7.8</v>
      </c>
      <c r="Q255" s="4">
        <v>49.5</v>
      </c>
      <c r="R255" s="4">
        <v>50.8</v>
      </c>
      <c r="S255" s="4">
        <v>-36.799999999999997</v>
      </c>
      <c r="T255" s="4" cm="1">
        <f t="array" ref="T255">_xlfn.IFS(L255&lt;=5,IF(ISNUMBER(X255)=TRUE,X255*1.79+AA255*1.8+Z255*5.56+50000*(10^-L255)-Q255,1.79+AA255*1.8+Z255*5.56+50000*(10^-L255)-Q255),L255&gt;5,IF(ISNUMBER(X255)=TRUE,X255*1.79+AA255*1.8+50000*(10^-L255)-Q255,AA255*1.8+50000*(10^-L255)-Q255))</f>
        <v>-48.800642323854511</v>
      </c>
      <c r="U255" s="2">
        <v>11.19</v>
      </c>
      <c r="V255" s="2">
        <v>93.9</v>
      </c>
      <c r="W255" s="3">
        <v>0.95099999999999996</v>
      </c>
      <c r="X255" s="3">
        <v>0.27</v>
      </c>
      <c r="Z255" s="3">
        <v>0.40100000000000002</v>
      </c>
      <c r="AA255" s="3">
        <v>0.11899999999999999</v>
      </c>
      <c r="AC255" s="3">
        <v>22.75</v>
      </c>
      <c r="AD255" s="8">
        <v>6.72</v>
      </c>
      <c r="AE255" s="8">
        <v>14.59</v>
      </c>
      <c r="AF255" s="3">
        <v>1.68</v>
      </c>
      <c r="AG255" s="3">
        <v>8.4</v>
      </c>
      <c r="AH255" s="2" t="s">
        <v>161</v>
      </c>
      <c r="AI255" s="2" t="s">
        <v>162</v>
      </c>
      <c r="AJ255" s="3" t="s">
        <v>159</v>
      </c>
      <c r="AN255" s="1">
        <f>S255*J255*0.012</f>
        <v>-9882.5663999999997</v>
      </c>
      <c r="AO255" s="1">
        <f>W255*J255*0.012</f>
        <v>255.38914800000001</v>
      </c>
      <c r="AP255" s="1">
        <f>Z255*J255*0.012</f>
        <v>107.68774800000001</v>
      </c>
      <c r="AQ255" s="1">
        <f>AA255*J255*0.012</f>
        <v>31.957211999999995</v>
      </c>
      <c r="AR255" s="1">
        <f>AB255*J255*0.012</f>
        <v>0</v>
      </c>
      <c r="AS255" s="1">
        <f t="shared" si="125"/>
        <v>13642.2384</v>
      </c>
      <c r="AU255" s="13"/>
      <c r="AV255" s="13"/>
    </row>
    <row r="256" spans="1:50" x14ac:dyDescent="0.3">
      <c r="A256" s="5">
        <v>44964</v>
      </c>
      <c r="B256" s="12" t="s">
        <v>34</v>
      </c>
      <c r="C256" t="s">
        <v>35</v>
      </c>
      <c r="E256" t="s">
        <v>36</v>
      </c>
      <c r="F256" s="11">
        <v>40.672021999999998</v>
      </c>
      <c r="G256" s="11">
        <v>-79.002600000000001</v>
      </c>
      <c r="H256" t="s">
        <v>241</v>
      </c>
      <c r="J256" s="1" t="s">
        <v>219</v>
      </c>
      <c r="L256" s="2">
        <v>7</v>
      </c>
      <c r="M256" s="2">
        <v>6.8</v>
      </c>
      <c r="N256" s="1">
        <v>316</v>
      </c>
      <c r="O256" s="1">
        <v>294</v>
      </c>
      <c r="Q256" s="4">
        <v>54</v>
      </c>
      <c r="R256" s="4">
        <v>51.4</v>
      </c>
      <c r="S256" s="4">
        <v>-42.8</v>
      </c>
      <c r="T256" s="4" cm="1">
        <f t="array" ref="T256">_xlfn.IFS(L256&lt;=5,IF(ISNUMBER(X256)=TRUE,X256*1.79+AA256*1.8+Z256*5.56+50000*(10^-L256)-Q256,1.79+AA256*1.8+Z256*5.56+50000*(10^-L256)-Q256),L256&gt;5,IF(ISNUMBER(X256)=TRUE,X256*1.79+AA256*1.8+50000*(10^-L256)-Q256,AA256*1.8+50000*(10^-L256)-Q256))</f>
        <v>-53.193060000000003</v>
      </c>
      <c r="W256" s="3">
        <v>1.1479999999999999</v>
      </c>
      <c r="X256" s="3">
        <v>0.26600000000000001</v>
      </c>
      <c r="Z256" s="3">
        <v>0.67100000000000004</v>
      </c>
      <c r="AA256" s="3">
        <v>0.18099999999999999</v>
      </c>
      <c r="AB256" s="4">
        <v>71.36</v>
      </c>
      <c r="AC256" s="3">
        <v>26.9</v>
      </c>
      <c r="AD256" s="8">
        <v>8.0299999999999994</v>
      </c>
      <c r="AE256" s="8">
        <v>18.36</v>
      </c>
      <c r="AF256" s="3">
        <v>1.45</v>
      </c>
      <c r="AG256" s="3">
        <v>9.3000000000000007</v>
      </c>
      <c r="AH256" s="2" t="s">
        <v>161</v>
      </c>
      <c r="AI256" s="2" t="s">
        <v>162</v>
      </c>
      <c r="AJ256" s="3" t="s">
        <v>159</v>
      </c>
      <c r="AU256" s="13"/>
      <c r="AV256" s="13"/>
    </row>
    <row r="257" spans="1:48" x14ac:dyDescent="0.3">
      <c r="A257" s="5">
        <v>45022</v>
      </c>
      <c r="B257" s="12" t="s">
        <v>75</v>
      </c>
      <c r="C257" t="s">
        <v>35</v>
      </c>
      <c r="E257" t="s">
        <v>36</v>
      </c>
      <c r="F257" s="11">
        <v>40.672021999999998</v>
      </c>
      <c r="G257" s="11">
        <v>-79.002600000000001</v>
      </c>
      <c r="H257" t="s">
        <v>241</v>
      </c>
      <c r="J257" s="1" t="s">
        <v>219</v>
      </c>
      <c r="L257" s="2">
        <v>7.25</v>
      </c>
      <c r="M257" s="2">
        <v>6.9</v>
      </c>
      <c r="N257" s="1">
        <v>221</v>
      </c>
      <c r="O257" s="1">
        <v>249</v>
      </c>
      <c r="Q257" s="4">
        <v>44</v>
      </c>
      <c r="R257" s="4">
        <v>47.6</v>
      </c>
      <c r="S257" s="4">
        <v>-33.4</v>
      </c>
      <c r="T257" s="4" cm="1">
        <f t="array" ref="T257">_xlfn.IFS(L257&lt;=5,IF(ISNUMBER(X257)=TRUE,X257*1.79+AA257*1.8+Z257*5.56+50000*(10^-L257)-Q257,1.79+AA257*1.8+Z257*5.56+50000*(10^-L257)-Q257),L257&gt;5,IF(ISNUMBER(X257)=TRUE,X257*1.79+AA257*1.8+50000*(10^-L257)-Q257,AA257*1.8+50000*(10^-L257)-Q257))</f>
        <v>-43.541428293374047</v>
      </c>
      <c r="W257" s="3">
        <v>0.72099999999999997</v>
      </c>
      <c r="X257" s="3">
        <v>0.14399999999999999</v>
      </c>
      <c r="Z257" s="3">
        <v>0.46100000000000002</v>
      </c>
      <c r="AA257" s="3">
        <v>0.11</v>
      </c>
      <c r="AB257" s="4">
        <v>58.05</v>
      </c>
      <c r="AC257" s="3">
        <v>20.36</v>
      </c>
      <c r="AD257" s="8">
        <v>6.32</v>
      </c>
      <c r="AE257" s="8">
        <v>13.55</v>
      </c>
      <c r="AF257" s="3">
        <v>1.48</v>
      </c>
      <c r="AG257" s="3">
        <v>8.4</v>
      </c>
      <c r="AH257" s="2" t="s">
        <v>161</v>
      </c>
      <c r="AI257" s="2" t="s">
        <v>162</v>
      </c>
      <c r="AJ257" s="3" t="s">
        <v>159</v>
      </c>
      <c r="AU257" s="13"/>
      <c r="AV257" s="13"/>
    </row>
    <row r="258" spans="1:48" x14ac:dyDescent="0.3">
      <c r="A258" s="5">
        <v>45098</v>
      </c>
      <c r="B258" s="12" t="s">
        <v>272</v>
      </c>
      <c r="C258" t="s">
        <v>35</v>
      </c>
      <c r="E258" t="s">
        <v>36</v>
      </c>
      <c r="F258" s="11">
        <v>40.672021999999998</v>
      </c>
      <c r="G258" s="11">
        <v>-79.002600000000001</v>
      </c>
      <c r="H258" t="s">
        <v>241</v>
      </c>
      <c r="J258" s="1" t="s">
        <v>219</v>
      </c>
      <c r="L258" s="2">
        <v>8.0299999999999994</v>
      </c>
      <c r="M258" s="2">
        <v>7.6</v>
      </c>
      <c r="N258" s="1">
        <v>506</v>
      </c>
      <c r="O258" s="1">
        <v>485</v>
      </c>
      <c r="P258" s="3">
        <v>19.100000000000001</v>
      </c>
      <c r="Q258" s="4">
        <v>99</v>
      </c>
      <c r="R258" s="4">
        <v>118.4</v>
      </c>
      <c r="S258" s="4">
        <v>-100.6</v>
      </c>
      <c r="T258" s="4" cm="1">
        <f t="array" ref="T258">_xlfn.IFS(L258&lt;=5,IF(ISNUMBER(X258)=TRUE,X258*1.79+AA258*1.8+Z258*5.56+50000*(10^-L258)-Q258,1.79+AA258*1.8+Z258*5.56+50000*(10^-L258)-Q258),L258&gt;5,IF(ISNUMBER(X258)=TRUE,X258*1.79+AA258*1.8+50000*(10^-L258)-Q258,AA258*1.8+50000*(10^-L258)-Q258))</f>
        <v>-98.458613372849598</v>
      </c>
      <c r="W258" s="3">
        <v>1.21</v>
      </c>
      <c r="X258" s="3">
        <v>8.7999999999999995E-2</v>
      </c>
      <c r="Z258" s="3">
        <v>0.45400000000000001</v>
      </c>
      <c r="AA258" s="3">
        <v>0.21299999999999999</v>
      </c>
      <c r="AB258" s="4">
        <v>116.08</v>
      </c>
      <c r="AC258" s="3">
        <v>43.17</v>
      </c>
      <c r="AD258" s="8">
        <v>11.54</v>
      </c>
      <c r="AE258" s="8">
        <v>42.14</v>
      </c>
      <c r="AF258" s="3">
        <v>2.0299999999999998</v>
      </c>
      <c r="AG258" s="3">
        <v>10.4</v>
      </c>
      <c r="AH258" s="2">
        <v>0.05</v>
      </c>
      <c r="AI258" s="2">
        <v>0.03</v>
      </c>
      <c r="AJ258" s="3">
        <v>0.2</v>
      </c>
      <c r="AU258" s="13"/>
      <c r="AV258" s="13"/>
    </row>
    <row r="259" spans="1:48" x14ac:dyDescent="0.3">
      <c r="A259" s="5">
        <v>45169</v>
      </c>
      <c r="B259" s="12" t="s">
        <v>272</v>
      </c>
      <c r="C259" t="s">
        <v>35</v>
      </c>
      <c r="E259" t="s">
        <v>36</v>
      </c>
      <c r="F259" s="11">
        <v>40.672021999999998</v>
      </c>
      <c r="G259" s="11">
        <v>-79.002600000000001</v>
      </c>
      <c r="H259" t="s">
        <v>241</v>
      </c>
      <c r="J259" s="1" t="s">
        <v>219</v>
      </c>
      <c r="L259" s="2">
        <v>7.76</v>
      </c>
      <c r="M259" s="2">
        <v>6.7</v>
      </c>
      <c r="N259" s="1">
        <v>317</v>
      </c>
      <c r="O259" s="1">
        <v>321</v>
      </c>
      <c r="P259" s="3">
        <v>17.7</v>
      </c>
      <c r="Q259" s="4">
        <v>68</v>
      </c>
      <c r="R259" s="4">
        <v>65.400000000000006</v>
      </c>
      <c r="S259" s="4">
        <v>-57.6</v>
      </c>
      <c r="T259" s="4" cm="1">
        <f t="array" ref="T259">_xlfn.IFS(L259&lt;=5,IF(ISNUMBER(X259)=TRUE,X259*1.79+AA259*1.8+Z259*5.56+50000*(10^-L259)-Q259,1.79+AA259*1.8+Z259*5.56+50000*(10^-L259)-Q259),L259&gt;5,IF(ISNUMBER(X259)=TRUE,X259*1.79+AA259*1.8+50000*(10^-L259)-Q259,AA259*1.8+50000*(10^-L259)-Q259))</f>
        <v>-67.648761099585627</v>
      </c>
      <c r="W259" s="3">
        <v>1.01</v>
      </c>
      <c r="X259" s="3">
        <v>6.3E-2</v>
      </c>
      <c r="Z259" s="3">
        <v>0.46500000000000002</v>
      </c>
      <c r="AA259" s="3">
        <v>0.13200000000000001</v>
      </c>
      <c r="AB259" s="4">
        <v>75.430000000000007</v>
      </c>
      <c r="AC259" s="6">
        <v>31.7</v>
      </c>
      <c r="AD259" s="6">
        <v>8.5500000000000007</v>
      </c>
      <c r="AE259" s="6">
        <v>19.600000000000001</v>
      </c>
      <c r="AF259" s="6">
        <v>1.77</v>
      </c>
      <c r="AG259" s="6">
        <v>8.1999999999999993</v>
      </c>
      <c r="AH259" s="2">
        <v>0.05</v>
      </c>
      <c r="AI259" s="2">
        <v>0.03</v>
      </c>
      <c r="AJ259" s="3">
        <v>0.2</v>
      </c>
      <c r="AU259" s="13"/>
      <c r="AV259" s="13"/>
    </row>
    <row r="260" spans="1:48" x14ac:dyDescent="0.3">
      <c r="A260" s="5">
        <v>45527</v>
      </c>
      <c r="B260" s="12" t="s">
        <v>65</v>
      </c>
      <c r="C260" t="s">
        <v>35</v>
      </c>
      <c r="E260" t="s">
        <v>36</v>
      </c>
      <c r="F260" s="11" t="s">
        <v>373</v>
      </c>
      <c r="G260" s="11"/>
      <c r="H260" t="s">
        <v>371</v>
      </c>
      <c r="J260" s="1">
        <f>(AVERAGE(15.31,15.68))*449</f>
        <v>6957.2550000000001</v>
      </c>
      <c r="K260" t="s">
        <v>96</v>
      </c>
      <c r="L260" s="2">
        <v>7.15</v>
      </c>
      <c r="M260" s="2">
        <v>7.1</v>
      </c>
      <c r="N260" s="1">
        <v>453</v>
      </c>
      <c r="P260" s="3">
        <v>14.7</v>
      </c>
      <c r="Q260" s="4">
        <f>AVERAGE(93,110)</f>
        <v>101.5</v>
      </c>
      <c r="R260" s="4">
        <v>83.8</v>
      </c>
      <c r="S260" s="4">
        <v>-68.599999999999994</v>
      </c>
      <c r="T260" s="4" cm="1">
        <f t="array" ref="T260">_xlfn.IFS(L260&lt;=5,IF(ISNUMBER(X260)=TRUE,X260*1.79+AA260*1.8+Z260*5.56+50000*(10^-L260)-Q260,1.79+AA260*1.8+Z260*5.56+50000*(10^-L260)-Q260),L260&gt;5,IF(ISNUMBER(X260)=TRUE,X260*1.79+AA260*1.8+50000*(10^-L260)-Q260,AA260*1.8+50000*(10^-L260)-Q260))</f>
        <v>-100.87164027107808</v>
      </c>
      <c r="W260" s="3">
        <v>1.7969999999999999</v>
      </c>
      <c r="X260" s="3">
        <v>0.158</v>
      </c>
      <c r="Z260" s="3">
        <v>0.57399999999999995</v>
      </c>
      <c r="AA260" s="3">
        <v>0.19</v>
      </c>
      <c r="AB260" s="4">
        <v>106.4</v>
      </c>
      <c r="AC260" s="6"/>
      <c r="AD260" s="6"/>
      <c r="AE260" s="6"/>
      <c r="AF260" s="6"/>
      <c r="AG260" s="6"/>
      <c r="AK260" s="1" t="s">
        <v>363</v>
      </c>
      <c r="AL260" s="3">
        <v>252</v>
      </c>
      <c r="AN260" s="1">
        <f>S260*J260*0.012</f>
        <v>-5727.2123160000001</v>
      </c>
      <c r="AO260" s="1">
        <f>W260*J260*0.012</f>
        <v>150.02624681999998</v>
      </c>
      <c r="AP260" s="1">
        <f>Z260*J260*0.012</f>
        <v>47.921572439999998</v>
      </c>
      <c r="AQ260" s="1">
        <f>AA260*J260*0.012</f>
        <v>15.8625414</v>
      </c>
      <c r="AR260" s="1">
        <f>AB260*J260*0.012</f>
        <v>8883.0231839999997</v>
      </c>
      <c r="AS260" s="1">
        <f t="shared" ref="AS260" si="136">0.012*R260*J260</f>
        <v>6996.2156280000008</v>
      </c>
      <c r="AU260" s="13"/>
      <c r="AV260" s="13"/>
    </row>
    <row r="261" spans="1:48" x14ac:dyDescent="0.3">
      <c r="A261" s="5">
        <v>45595</v>
      </c>
      <c r="C261" t="s">
        <v>35</v>
      </c>
      <c r="E261" t="s">
        <v>36</v>
      </c>
      <c r="F261" s="11" t="s">
        <v>373</v>
      </c>
      <c r="G261" s="11"/>
      <c r="H261" t="s">
        <v>245</v>
      </c>
      <c r="J261" s="1">
        <f>8.26*449</f>
        <v>3708.74</v>
      </c>
      <c r="K261" t="s">
        <v>96</v>
      </c>
      <c r="L261" s="2">
        <v>7.44</v>
      </c>
      <c r="M261" s="2">
        <v>6.9</v>
      </c>
      <c r="N261" s="1">
        <v>559</v>
      </c>
      <c r="P261" s="3">
        <v>9.9</v>
      </c>
      <c r="Q261" s="4">
        <v>127</v>
      </c>
      <c r="R261" s="4">
        <v>138</v>
      </c>
      <c r="S261" s="4">
        <v>-115.2</v>
      </c>
      <c r="T261" s="4" cm="1">
        <f t="array" ref="T261">_xlfn.IFS(L261&lt;=5,IF(ISNUMBER(X261)=TRUE,X261*1.79+AA261*1.8+Z261*5.56+50000*(10^-L261)-Q261,1.79+AA261*1.8+Z261*5.56+50000*(10^-L261)-Q261),L261&gt;5,IF(ISNUMBER(X261)=TRUE,X261*1.79+AA261*1.8+50000*(10^-L261)-Q261,AA261*1.8+50000*(10^-L261)-Q261))</f>
        <v>-126.22076460972615</v>
      </c>
      <c r="W261" s="3">
        <v>2.21</v>
      </c>
      <c r="X261" s="3">
        <v>0.19800000000000001</v>
      </c>
      <c r="Z261" s="3">
        <v>0.628</v>
      </c>
      <c r="AA261" s="3">
        <v>0.23499999999999999</v>
      </c>
      <c r="AB261" s="4">
        <v>206</v>
      </c>
      <c r="AC261" s="6"/>
      <c r="AD261" s="6"/>
      <c r="AE261" s="6"/>
      <c r="AF261" s="6"/>
      <c r="AG261" s="6"/>
      <c r="AK261" s="1" t="s">
        <v>363</v>
      </c>
      <c r="AL261" s="3">
        <v>356</v>
      </c>
      <c r="AN261" s="1">
        <f>S261*J261*0.012</f>
        <v>-5126.962176</v>
      </c>
      <c r="AO261" s="1">
        <f>W261*J261*0.012</f>
        <v>98.355784799999995</v>
      </c>
      <c r="AP261" s="1">
        <f>Z261*J261*0.012</f>
        <v>27.949064639999996</v>
      </c>
      <c r="AQ261" s="1">
        <f>AA261*J261*0.012</f>
        <v>10.458646799999999</v>
      </c>
      <c r="AR261" s="1">
        <f>AB261*J261*0.012</f>
        <v>9168.0052799999994</v>
      </c>
      <c r="AS261" s="1">
        <f t="shared" ref="AS261" si="137">0.012*R261*J261</f>
        <v>6141.6734400000005</v>
      </c>
      <c r="AU261" s="13"/>
      <c r="AV261" s="13"/>
    </row>
    <row r="262" spans="1:48" s="7" customFormat="1" x14ac:dyDescent="0.3">
      <c r="A262" s="45" t="s">
        <v>144</v>
      </c>
      <c r="F262" s="47"/>
      <c r="G262" s="47"/>
      <c r="I262" s="15"/>
      <c r="J262" s="57">
        <f>AVERAGE(J254:J261)</f>
        <v>10009.748749999999</v>
      </c>
      <c r="K262" s="19" t="e">
        <f t="shared" ref="K262" si="138">AVERAGE(K254:K260)</f>
        <v>#DIV/0!</v>
      </c>
      <c r="L262" s="15">
        <f>AVERAGE(L254:L261)</f>
        <v>7.4599999999999991</v>
      </c>
      <c r="M262" s="15">
        <f>AVERAGE(M254:M261)</f>
        <v>7.1000000000000005</v>
      </c>
      <c r="N262" s="19">
        <f>AVERAGE(N254:N261)</f>
        <v>377.26249999999999</v>
      </c>
      <c r="O262" s="19">
        <f t="shared" ref="O262:AS262" si="139">AVERAGE(O254:O261)</f>
        <v>333.83333333333331</v>
      </c>
      <c r="P262" s="19">
        <f t="shared" si="139"/>
        <v>13.300000000000002</v>
      </c>
      <c r="Q262" s="19">
        <f t="shared" si="139"/>
        <v>79.5</v>
      </c>
      <c r="R262" s="19">
        <f t="shared" si="139"/>
        <v>80.900000000000006</v>
      </c>
      <c r="S262" s="19">
        <f t="shared" si="139"/>
        <v>-66.650000000000006</v>
      </c>
      <c r="T262" s="19">
        <f t="shared" si="139"/>
        <v>-78.879872569251063</v>
      </c>
      <c r="U262" s="19">
        <f t="shared" si="139"/>
        <v>10.61</v>
      </c>
      <c r="V262" s="19">
        <f t="shared" si="139"/>
        <v>92.050000000000011</v>
      </c>
      <c r="W262" s="15">
        <f t="shared" si="139"/>
        <v>1.3479999999999999</v>
      </c>
      <c r="X262" s="32">
        <f t="shared" si="139"/>
        <v>0.17174999999999999</v>
      </c>
      <c r="Y262" s="32"/>
      <c r="Z262" s="32">
        <f t="shared" si="139"/>
        <v>0.53049999999999997</v>
      </c>
      <c r="AA262" s="32">
        <f t="shared" si="139"/>
        <v>0.17249999999999999</v>
      </c>
      <c r="AB262" s="19">
        <f t="shared" si="139"/>
        <v>104.69571428571429</v>
      </c>
      <c r="AC262" s="19">
        <f t="shared" si="139"/>
        <v>30.371666666666666</v>
      </c>
      <c r="AD262" s="19">
        <f t="shared" si="139"/>
        <v>8.6183333333333323</v>
      </c>
      <c r="AE262" s="19">
        <f t="shared" si="139"/>
        <v>23.504999999999999</v>
      </c>
      <c r="AF262" s="19">
        <f t="shared" si="139"/>
        <v>1.7349999999999997</v>
      </c>
      <c r="AG262" s="19">
        <f t="shared" si="139"/>
        <v>9.1</v>
      </c>
      <c r="AH262" s="19">
        <f t="shared" si="139"/>
        <v>0.05</v>
      </c>
      <c r="AI262" s="19">
        <f t="shared" si="139"/>
        <v>0.03</v>
      </c>
      <c r="AJ262" s="19">
        <f t="shared" si="139"/>
        <v>0.2</v>
      </c>
      <c r="AK262" s="19"/>
      <c r="AL262" s="19"/>
      <c r="AM262" s="19"/>
      <c r="AN262" s="19">
        <f t="shared" si="139"/>
        <v>-6824.9776230000007</v>
      </c>
      <c r="AO262" s="19">
        <f t="shared" si="139"/>
        <v>162.38852890500002</v>
      </c>
      <c r="AP262" s="19">
        <f t="shared" si="139"/>
        <v>58.268976270000003</v>
      </c>
      <c r="AQ262" s="19">
        <f t="shared" si="139"/>
        <v>18.766000049999999</v>
      </c>
      <c r="AR262" s="19">
        <f t="shared" si="139"/>
        <v>6601.5152159999998</v>
      </c>
      <c r="AS262" s="19">
        <f t="shared" si="139"/>
        <v>8621.1794669999999</v>
      </c>
      <c r="AU262" s="48"/>
      <c r="AV262" s="48"/>
    </row>
    <row r="263" spans="1:48" x14ac:dyDescent="0.3">
      <c r="F263" s="11"/>
      <c r="G263" s="11"/>
      <c r="AD263" s="8"/>
      <c r="AE263" s="8"/>
      <c r="AU263" s="13"/>
      <c r="AV263" s="13"/>
    </row>
    <row r="264" spans="1:48" x14ac:dyDescent="0.3">
      <c r="A264" s="5">
        <v>35998</v>
      </c>
      <c r="C264" t="s">
        <v>187</v>
      </c>
      <c r="E264" t="s">
        <v>33</v>
      </c>
      <c r="F264" s="11"/>
      <c r="G264" s="11"/>
      <c r="H264" t="s">
        <v>175</v>
      </c>
      <c r="M264" s="2">
        <v>6.4</v>
      </c>
      <c r="Q264" s="4">
        <v>7.8</v>
      </c>
      <c r="W264" s="3">
        <v>0.38</v>
      </c>
      <c r="X264" s="3">
        <v>0.05</v>
      </c>
      <c r="Z264" s="3">
        <v>0.36</v>
      </c>
      <c r="AA264" s="3">
        <v>0.72</v>
      </c>
      <c r="AB264" s="4">
        <v>151</v>
      </c>
      <c r="AD264" s="8"/>
      <c r="AE264" s="8"/>
    </row>
    <row r="265" spans="1:48" x14ac:dyDescent="0.3">
      <c r="A265" s="5">
        <v>36334</v>
      </c>
      <c r="C265" t="s">
        <v>187</v>
      </c>
      <c r="E265" t="s">
        <v>33</v>
      </c>
      <c r="H265" t="s">
        <v>180</v>
      </c>
      <c r="M265" s="2">
        <v>4.5</v>
      </c>
      <c r="Q265" s="4">
        <v>0</v>
      </c>
      <c r="W265" s="3">
        <v>0.27500000000000002</v>
      </c>
      <c r="X265" s="3">
        <v>0.06</v>
      </c>
      <c r="Z265" s="3">
        <v>1.1200000000000001</v>
      </c>
      <c r="AA265" s="3">
        <v>3.83</v>
      </c>
      <c r="AB265" s="4">
        <v>241.9</v>
      </c>
    </row>
    <row r="266" spans="1:48" x14ac:dyDescent="0.3">
      <c r="A266" s="5">
        <v>36549</v>
      </c>
      <c r="C266" t="s">
        <v>187</v>
      </c>
      <c r="E266" t="s">
        <v>33</v>
      </c>
      <c r="F266" s="11"/>
      <c r="G266" s="11"/>
      <c r="H266" t="s">
        <v>180</v>
      </c>
      <c r="M266" s="2">
        <v>5.2</v>
      </c>
      <c r="Q266" s="4">
        <v>3.2</v>
      </c>
      <c r="W266" s="3">
        <v>0.68100000000000005</v>
      </c>
      <c r="X266" s="3">
        <v>0.28999999999999998</v>
      </c>
      <c r="Z266" s="3">
        <v>1.05</v>
      </c>
      <c r="AA266" s="3">
        <v>3.38</v>
      </c>
      <c r="AB266" s="4">
        <v>218</v>
      </c>
      <c r="AD266" s="8"/>
      <c r="AE266" s="8"/>
      <c r="AU266" s="13"/>
      <c r="AV266" s="13"/>
    </row>
    <row r="267" spans="1:48" x14ac:dyDescent="0.3">
      <c r="A267" s="5">
        <v>36628</v>
      </c>
      <c r="C267" t="s">
        <v>187</v>
      </c>
      <c r="E267" t="s">
        <v>33</v>
      </c>
      <c r="F267" s="11"/>
      <c r="G267" s="11"/>
      <c r="H267" t="s">
        <v>180</v>
      </c>
      <c r="M267" s="2">
        <v>4.8</v>
      </c>
      <c r="Q267" s="4">
        <v>2</v>
      </c>
      <c r="W267" s="3">
        <v>1.36</v>
      </c>
      <c r="X267" s="3">
        <v>0.3</v>
      </c>
      <c r="Z267" s="3">
        <v>0.63800000000000001</v>
      </c>
      <c r="AA267" s="3">
        <v>4.1900000000000004</v>
      </c>
      <c r="AB267" s="4">
        <v>160</v>
      </c>
      <c r="AD267" s="8"/>
      <c r="AE267" s="8"/>
    </row>
    <row r="268" spans="1:48" x14ac:dyDescent="0.3">
      <c r="A268" s="5">
        <v>36719</v>
      </c>
      <c r="C268" t="s">
        <v>187</v>
      </c>
      <c r="E268" t="s">
        <v>33</v>
      </c>
      <c r="H268" t="s">
        <v>180</v>
      </c>
      <c r="M268" s="2">
        <v>4.5999999999999996</v>
      </c>
      <c r="Q268" s="4">
        <v>1.4</v>
      </c>
      <c r="W268" s="3">
        <v>0.22500000000000001</v>
      </c>
      <c r="X268" s="3">
        <v>7.0000000000000007E-2</v>
      </c>
      <c r="Z268" s="3">
        <v>1.2</v>
      </c>
      <c r="AA268" s="3">
        <v>3.29</v>
      </c>
      <c r="AB268" s="4">
        <v>271</v>
      </c>
    </row>
    <row r="269" spans="1:48" x14ac:dyDescent="0.3">
      <c r="A269" s="5">
        <v>36816</v>
      </c>
      <c r="C269" t="s">
        <v>187</v>
      </c>
      <c r="E269" t="s">
        <v>33</v>
      </c>
      <c r="F269" s="11"/>
      <c r="G269" s="11"/>
      <c r="H269" t="s">
        <v>180</v>
      </c>
      <c r="M269" s="2">
        <v>3.1</v>
      </c>
      <c r="Q269" s="4">
        <v>0</v>
      </c>
      <c r="W269" s="3">
        <v>69.599999999999994</v>
      </c>
      <c r="X269" s="3">
        <v>1.69</v>
      </c>
      <c r="Z269" s="3">
        <v>6.29</v>
      </c>
      <c r="AA269" s="3">
        <v>99.6</v>
      </c>
      <c r="AB269" s="4">
        <v>581</v>
      </c>
      <c r="AD269" s="8"/>
      <c r="AE269" s="8"/>
      <c r="AU269" s="13"/>
      <c r="AV269" s="13"/>
    </row>
    <row r="270" spans="1:48" x14ac:dyDescent="0.3">
      <c r="A270" s="5">
        <v>37457</v>
      </c>
      <c r="C270" t="s">
        <v>187</v>
      </c>
      <c r="E270" t="s">
        <v>33</v>
      </c>
      <c r="F270" s="11"/>
      <c r="G270" s="11"/>
      <c r="H270" t="s">
        <v>180</v>
      </c>
      <c r="M270" s="2">
        <v>4</v>
      </c>
      <c r="Q270" s="4">
        <v>0</v>
      </c>
      <c r="W270" s="3">
        <v>1.92</v>
      </c>
      <c r="X270" s="3">
        <v>0.2</v>
      </c>
      <c r="Z270" s="3">
        <v>1.34</v>
      </c>
      <c r="AA270" s="3">
        <v>6.65</v>
      </c>
      <c r="AB270" s="4">
        <v>384</v>
      </c>
      <c r="AD270" s="8"/>
      <c r="AE270" s="8"/>
    </row>
    <row r="271" spans="1:48" x14ac:dyDescent="0.3">
      <c r="A271" s="5">
        <v>37565</v>
      </c>
      <c r="C271" t="s">
        <v>187</v>
      </c>
      <c r="E271" t="s">
        <v>33</v>
      </c>
      <c r="H271" t="s">
        <v>180</v>
      </c>
      <c r="M271" s="2">
        <v>4.7</v>
      </c>
      <c r="Q271" s="4">
        <v>2</v>
      </c>
      <c r="W271" s="3">
        <v>2.11</v>
      </c>
      <c r="X271" s="3">
        <v>0.45</v>
      </c>
      <c r="Z271" s="3">
        <v>1.26</v>
      </c>
      <c r="AA271" s="3">
        <v>4.5199999999999996</v>
      </c>
      <c r="AB271" s="4">
        <v>241.6</v>
      </c>
    </row>
    <row r="272" spans="1:48" x14ac:dyDescent="0.3">
      <c r="A272" s="5">
        <v>37651</v>
      </c>
      <c r="C272" t="s">
        <v>187</v>
      </c>
      <c r="E272" t="s">
        <v>33</v>
      </c>
      <c r="F272" s="11"/>
      <c r="G272" s="11"/>
      <c r="H272" t="s">
        <v>180</v>
      </c>
      <c r="M272" s="2">
        <v>4.5999999999999996</v>
      </c>
      <c r="Q272" s="4">
        <v>1</v>
      </c>
      <c r="W272" s="3">
        <v>1.81</v>
      </c>
      <c r="X272" s="3">
        <v>0.36</v>
      </c>
      <c r="Z272" s="3">
        <v>6.81</v>
      </c>
      <c r="AA272" s="3">
        <v>1.1100000000000001</v>
      </c>
      <c r="AB272" s="4">
        <v>268.39999999999998</v>
      </c>
      <c r="AD272" s="8"/>
      <c r="AE272" s="8"/>
      <c r="AU272" s="13"/>
      <c r="AV272" s="13"/>
    </row>
    <row r="273" spans="1:48" x14ac:dyDescent="0.3">
      <c r="A273" s="5">
        <v>37796</v>
      </c>
      <c r="C273" t="s">
        <v>187</v>
      </c>
      <c r="E273" t="s">
        <v>33</v>
      </c>
      <c r="F273" s="11"/>
      <c r="G273" s="11"/>
      <c r="H273" t="s">
        <v>180</v>
      </c>
      <c r="M273" s="2">
        <v>4.8</v>
      </c>
      <c r="Q273" s="4">
        <v>8</v>
      </c>
      <c r="W273" s="3">
        <v>1.79</v>
      </c>
      <c r="X273" s="3">
        <v>0.66</v>
      </c>
      <c r="Z273" s="3">
        <v>3.78</v>
      </c>
      <c r="AA273" s="3">
        <v>0.76400000000000001</v>
      </c>
      <c r="AB273" s="4">
        <v>206.1</v>
      </c>
      <c r="AD273" s="8"/>
      <c r="AE273" s="8"/>
    </row>
    <row r="274" spans="1:48" x14ac:dyDescent="0.3">
      <c r="A274" s="5">
        <v>37925</v>
      </c>
      <c r="C274" t="s">
        <v>187</v>
      </c>
      <c r="E274" t="s">
        <v>33</v>
      </c>
      <c r="H274" t="s">
        <v>180</v>
      </c>
      <c r="M274" s="2">
        <v>4.8</v>
      </c>
      <c r="Q274" s="4">
        <v>7.8</v>
      </c>
      <c r="W274" s="3">
        <v>2.57</v>
      </c>
      <c r="X274" s="3">
        <v>0.37</v>
      </c>
      <c r="Z274" s="3">
        <v>3.93</v>
      </c>
      <c r="AA274" s="3">
        <v>0.83799999999999997</v>
      </c>
      <c r="AB274" s="4">
        <v>178.2</v>
      </c>
    </row>
    <row r="275" spans="1:48" x14ac:dyDescent="0.3">
      <c r="A275" s="5">
        <v>44845</v>
      </c>
      <c r="B275" s="12" t="s">
        <v>32</v>
      </c>
      <c r="C275" t="s">
        <v>149</v>
      </c>
      <c r="D275">
        <v>60153</v>
      </c>
      <c r="E275" t="s">
        <v>33</v>
      </c>
      <c r="F275" s="11">
        <v>40.672997000000002</v>
      </c>
      <c r="G275" s="11">
        <v>-79.002888999999996</v>
      </c>
      <c r="H275" t="s">
        <v>92</v>
      </c>
      <c r="I275" s="2">
        <v>3.63</v>
      </c>
      <c r="J275" s="1">
        <v>403</v>
      </c>
      <c r="K275" t="s">
        <v>96</v>
      </c>
      <c r="L275" s="2">
        <v>7.51</v>
      </c>
      <c r="M275" s="2">
        <v>6.7</v>
      </c>
      <c r="N275" s="1">
        <v>429</v>
      </c>
      <c r="O275" s="1">
        <v>435</v>
      </c>
      <c r="P275" s="3">
        <v>9.1999999999999993</v>
      </c>
      <c r="Q275" s="4">
        <v>18.5</v>
      </c>
      <c r="R275" s="4">
        <v>18</v>
      </c>
      <c r="S275" s="4">
        <v>-3.2</v>
      </c>
      <c r="T275" s="4" cm="1">
        <f t="array" ref="T275">_xlfn.IFS(L275&lt;=5,IF(ISNUMBER(X275)=TRUE,X275*1.79+AA275*1.8+Z275*5.56+50000*(10^-L275)-Q275,1.79+AA275*1.8+Z275*5.56+50000*(10^-L275)-Q275),L275&gt;5,IF(ISNUMBER(X275)=TRUE,X275*1.79+AA275*1.8+50000*(10^-L275)-Q275,AA275*1.8+50000*(10^-L275)-Q275))</f>
        <v>-17.459354852283745</v>
      </c>
      <c r="U275" s="2">
        <v>9.5500000000000007</v>
      </c>
      <c r="V275" s="2">
        <v>83</v>
      </c>
      <c r="W275" s="3">
        <v>0.32200000000000001</v>
      </c>
      <c r="X275" s="3">
        <v>0.13</v>
      </c>
      <c r="Z275" s="3">
        <v>1.2609999999999999</v>
      </c>
      <c r="AA275" s="3">
        <v>0.44800000000000001</v>
      </c>
      <c r="AB275" s="4">
        <v>181.89</v>
      </c>
      <c r="AC275" s="3">
        <v>49.01</v>
      </c>
      <c r="AD275" s="8">
        <v>18.579999999999998</v>
      </c>
      <c r="AE275" s="8">
        <v>6.99</v>
      </c>
      <c r="AF275" s="3">
        <v>2.27</v>
      </c>
      <c r="AG275" s="3">
        <v>8.8000000000000007</v>
      </c>
      <c r="AH275" s="2" t="s">
        <v>161</v>
      </c>
      <c r="AI275" s="2" t="s">
        <v>162</v>
      </c>
      <c r="AJ275" s="3" t="s">
        <v>159</v>
      </c>
      <c r="AN275" s="1">
        <f>S275*J275*0.012</f>
        <v>-15.475200000000003</v>
      </c>
      <c r="AO275" s="1">
        <f>W275*J275*0.012</f>
        <v>1.5571919999999999</v>
      </c>
      <c r="AP275" s="1">
        <f>Z275*J275*0.012</f>
        <v>6.0981959999999997</v>
      </c>
      <c r="AQ275" s="1">
        <f>AA275*J275*0.012</f>
        <v>2.166528</v>
      </c>
      <c r="AR275" s="1">
        <f>AB275*J275*0.012</f>
        <v>879.62004000000002</v>
      </c>
      <c r="AS275" s="1">
        <f t="shared" si="125"/>
        <v>87.048000000000002</v>
      </c>
      <c r="AU275" s="13" t="str">
        <f>CONCATENATE(TEXT(ROUNDDOWN(ABS(F275),0),"00"),"° ",TEXT(ROUNDDOWN(ABS((F275-ROUNDDOWN(F275,0))*60),0),"00"),"' ",TEXT(TRUNC((ABS((F275-ROUNDDOWN(F275,0))*60)-ROUNDDOWN(ABS((F275-ROUNDDOWN(F275,0))*60),0))*60,2),"00.00"),"""",IF(F275&lt;0," S"," N"))</f>
        <v>40° 40' 22.78" N</v>
      </c>
      <c r="AV275" s="13" t="str">
        <f>CONCATENATE(TEXT(ROUNDDOWN(ABS(G275),0),"000"),"° ",TEXT(ROUNDDOWN(ABS((G275-ROUNDDOWN(G275,0))*60),0),"00"),"' ",TEXT(TRUNC((ABS((G275-ROUNDDOWN(G275,0))*60)-ROUNDDOWN(ABS((G275-ROUNDDOWN(G275,0))*60),0))*60,2),"00.00"),"""",IF(G275&lt;0," W"," E"))</f>
        <v>079° 00' 10.40" W</v>
      </c>
    </row>
    <row r="276" spans="1:48" x14ac:dyDescent="0.3">
      <c r="A276" s="5">
        <v>44903</v>
      </c>
      <c r="B276" s="12" t="s">
        <v>32</v>
      </c>
      <c r="C276" t="s">
        <v>149</v>
      </c>
      <c r="D276">
        <v>60153</v>
      </c>
      <c r="E276" t="s">
        <v>33</v>
      </c>
      <c r="F276" s="11">
        <v>40.672997000000002</v>
      </c>
      <c r="G276" s="11">
        <v>-79.002888999999996</v>
      </c>
      <c r="H276" t="s">
        <v>92</v>
      </c>
      <c r="I276" s="2">
        <v>3.63</v>
      </c>
      <c r="J276" s="1">
        <v>1293</v>
      </c>
      <c r="K276" t="s">
        <v>96</v>
      </c>
      <c r="L276" s="2">
        <v>7.38</v>
      </c>
      <c r="M276" s="2">
        <v>7</v>
      </c>
      <c r="N276" s="1">
        <v>349.7</v>
      </c>
      <c r="O276" s="1">
        <v>361</v>
      </c>
      <c r="P276" s="3">
        <v>7.5</v>
      </c>
      <c r="Q276" s="4">
        <v>30.5</v>
      </c>
      <c r="R276" s="4">
        <v>34.4</v>
      </c>
      <c r="S276" s="4">
        <v>-17.600000000000001</v>
      </c>
      <c r="T276" s="4" cm="1">
        <f t="array" ref="T276">_xlfn.IFS(L276&lt;=5,IF(ISNUMBER(X276)=TRUE,X276*1.79+AA276*1.8+Z276*5.56+50000*(10^-L276)-Q276,1.79+AA276*1.8+Z276*5.56+50000*(10^-L276)-Q276),L276&gt;5,IF(ISNUMBER(X276)=TRUE,X276*1.79+AA276*1.8+50000*(10^-L276)-Q276,AA276*1.8+50000*(10^-L276)-Q276))</f>
        <v>-29.767765653082648</v>
      </c>
      <c r="U276" s="2">
        <v>11.2</v>
      </c>
      <c r="V276" s="2">
        <v>93.4</v>
      </c>
      <c r="W276" s="3">
        <v>0.35399999999999998</v>
      </c>
      <c r="X276" s="3">
        <v>6.5000000000000002E-2</v>
      </c>
      <c r="Z276" s="3">
        <v>1.536</v>
      </c>
      <c r="AA276" s="3">
        <v>0.34100000000000003</v>
      </c>
      <c r="AC276" s="3">
        <v>39.07</v>
      </c>
      <c r="AD276" s="8">
        <v>13.95</v>
      </c>
      <c r="AE276" s="8">
        <v>8.16</v>
      </c>
      <c r="AF276" s="3">
        <v>2.1800000000000002</v>
      </c>
      <c r="AG276" s="3">
        <v>11.2</v>
      </c>
      <c r="AH276" s="2" t="s">
        <v>161</v>
      </c>
      <c r="AI276" s="2" t="s">
        <v>162</v>
      </c>
      <c r="AJ276" s="3" t="s">
        <v>159</v>
      </c>
      <c r="AN276" s="1">
        <f>S276*J276*0.012</f>
        <v>-273.08160000000004</v>
      </c>
      <c r="AO276" s="1">
        <f>W276*J276*0.012</f>
        <v>5.4926639999999995</v>
      </c>
      <c r="AP276" s="1">
        <f>Z276*J276*0.012</f>
        <v>23.832576</v>
      </c>
      <c r="AQ276" s="1">
        <f>AA276*J276*0.012</f>
        <v>5.2909560000000004</v>
      </c>
      <c r="AR276" s="1">
        <f>AB276*J276*0.012</f>
        <v>0</v>
      </c>
      <c r="AS276" s="1">
        <f t="shared" si="125"/>
        <v>533.75040000000001</v>
      </c>
      <c r="AU276" s="13"/>
      <c r="AV276" s="13"/>
    </row>
    <row r="277" spans="1:48" x14ac:dyDescent="0.3">
      <c r="A277" s="5">
        <v>44964</v>
      </c>
      <c r="B277" s="12" t="s">
        <v>32</v>
      </c>
      <c r="C277" t="s">
        <v>149</v>
      </c>
      <c r="D277">
        <v>60153</v>
      </c>
      <c r="E277" t="s">
        <v>33</v>
      </c>
      <c r="F277" s="11">
        <v>40.672997000000002</v>
      </c>
      <c r="G277" s="11">
        <v>-79.002888999999996</v>
      </c>
      <c r="H277" t="s">
        <v>241</v>
      </c>
      <c r="J277" s="1" t="s">
        <v>219</v>
      </c>
      <c r="L277" s="2">
        <v>7.51</v>
      </c>
      <c r="M277" s="2">
        <v>6.4</v>
      </c>
      <c r="N277" s="1">
        <v>255</v>
      </c>
      <c r="O277" s="1">
        <v>369</v>
      </c>
      <c r="Q277" s="4">
        <v>14</v>
      </c>
      <c r="R277" s="4">
        <v>14.2</v>
      </c>
      <c r="S277" s="4">
        <v>-3.4</v>
      </c>
      <c r="T277" s="4" cm="1">
        <f t="array" ref="T277">_xlfn.IFS(L277&lt;=5,IF(ISNUMBER(X277)=TRUE,X277*1.79+AA277*1.8+Z277*5.56+50000*(10^-L277)-Q277,1.79+AA277*1.8+Z277*5.56+50000*(10^-L277)-Q277),L277&gt;5,IF(ISNUMBER(X277)=TRUE,X277*1.79+AA277*1.8+50000*(10^-L277)-Q277,AA277*1.8+50000*(10^-L277)-Q277))</f>
        <v>-13.248354852283743</v>
      </c>
      <c r="W277" s="3">
        <v>0.52900000000000003</v>
      </c>
      <c r="X277" s="3">
        <v>0.05</v>
      </c>
      <c r="Z277" s="3">
        <v>2.0939999999999999</v>
      </c>
      <c r="AA277" s="3">
        <v>0.36699999999999999</v>
      </c>
      <c r="AB277" s="4">
        <v>136.12</v>
      </c>
      <c r="AC277" s="3">
        <v>37.700000000000003</v>
      </c>
      <c r="AD277" s="8">
        <v>14.25</v>
      </c>
      <c r="AE277" s="8">
        <v>6.78</v>
      </c>
      <c r="AF277" s="3">
        <v>1.98</v>
      </c>
      <c r="AG277" s="3">
        <v>10.5</v>
      </c>
      <c r="AH277" s="2" t="s">
        <v>161</v>
      </c>
      <c r="AI277" s="2">
        <v>3.6999999999999998E-2</v>
      </c>
      <c r="AJ277" s="3" t="s">
        <v>159</v>
      </c>
      <c r="AU277" s="13"/>
      <c r="AV277" s="13"/>
    </row>
    <row r="278" spans="1:48" x14ac:dyDescent="0.3">
      <c r="A278" s="5">
        <v>45022</v>
      </c>
      <c r="B278" s="12" t="s">
        <v>73</v>
      </c>
      <c r="C278" t="s">
        <v>149</v>
      </c>
      <c r="D278">
        <v>60153</v>
      </c>
      <c r="E278" t="s">
        <v>33</v>
      </c>
      <c r="F278" s="11">
        <v>40.672997000000002</v>
      </c>
      <c r="G278" s="11">
        <v>-79.002888999999996</v>
      </c>
      <c r="H278" t="s">
        <v>241</v>
      </c>
      <c r="J278" s="1" t="s">
        <v>219</v>
      </c>
      <c r="L278" s="2">
        <v>7.25</v>
      </c>
      <c r="M278" s="2">
        <v>6.5</v>
      </c>
      <c r="N278" s="1">
        <v>300</v>
      </c>
      <c r="O278" s="1">
        <v>330</v>
      </c>
      <c r="Q278" s="4">
        <v>17</v>
      </c>
      <c r="R278" s="4">
        <v>14.2</v>
      </c>
      <c r="S278" s="4">
        <v>-1.4</v>
      </c>
      <c r="T278" s="4" cm="1">
        <f t="array" ref="T278">_xlfn.IFS(L278&lt;=5,IF(ISNUMBER(X278)=TRUE,X278*1.79+AA278*1.8+Z278*5.56+50000*(10^-L278)-Q278,1.79+AA278*1.8+Z278*5.56+50000*(10^-L278)-Q278),L278&gt;5,IF(ISNUMBER(X278)=TRUE,X278*1.79+AA278*1.8+50000*(10^-L278)-Q278,AA278*1.8+50000*(10^-L278)-Q278))</f>
        <v>-16.28908829337405</v>
      </c>
      <c r="W278" s="3">
        <v>0.80600000000000005</v>
      </c>
      <c r="X278" s="3">
        <v>0.11</v>
      </c>
      <c r="Z278" s="3">
        <v>2.1230000000000002</v>
      </c>
      <c r="AA278" s="3">
        <v>0.28399999999999997</v>
      </c>
      <c r="AB278" s="4">
        <v>115.07</v>
      </c>
      <c r="AC278" s="3">
        <v>30.12</v>
      </c>
      <c r="AD278" s="8">
        <v>12.34</v>
      </c>
      <c r="AE278" s="8">
        <v>6.48</v>
      </c>
      <c r="AF278" s="3">
        <v>1.85</v>
      </c>
      <c r="AG278" s="3">
        <v>10.5</v>
      </c>
      <c r="AH278" s="2" t="s">
        <v>161</v>
      </c>
      <c r="AI278" s="2" t="s">
        <v>162</v>
      </c>
      <c r="AJ278" s="3" t="s">
        <v>159</v>
      </c>
      <c r="AU278" s="13"/>
      <c r="AV278" s="13"/>
    </row>
    <row r="279" spans="1:48" x14ac:dyDescent="0.3">
      <c r="A279" s="5">
        <v>45098</v>
      </c>
      <c r="B279" s="12" t="s">
        <v>271</v>
      </c>
      <c r="C279" t="s">
        <v>149</v>
      </c>
      <c r="D279">
        <v>60153</v>
      </c>
      <c r="E279" t="s">
        <v>33</v>
      </c>
      <c r="F279" s="11">
        <v>40.672997000000002</v>
      </c>
      <c r="G279" s="11">
        <v>-79.002888999999996</v>
      </c>
      <c r="H279" t="s">
        <v>241</v>
      </c>
      <c r="J279" s="1" t="s">
        <v>219</v>
      </c>
      <c r="L279" s="2">
        <v>7.55</v>
      </c>
      <c r="M279" s="2">
        <v>6.2</v>
      </c>
      <c r="N279" s="1">
        <v>470</v>
      </c>
      <c r="O279" s="1">
        <v>444</v>
      </c>
      <c r="P279" s="3">
        <v>15.8</v>
      </c>
      <c r="Q279" s="4">
        <v>13</v>
      </c>
      <c r="R279" s="4">
        <v>13.2</v>
      </c>
      <c r="S279" s="4">
        <v>-4</v>
      </c>
      <c r="T279" s="4" cm="1">
        <f t="array" ref="T279">_xlfn.IFS(L279&lt;=5,IF(ISNUMBER(X279)=TRUE,X279*1.79+AA279*1.8+Z279*5.56+50000*(10^-L279)-Q279,1.79+AA279*1.8+Z279*5.56+50000*(10^-L279)-Q279),L279&gt;5,IF(ISNUMBER(X279)=TRUE,X279*1.79+AA279*1.8+50000*(10^-L279)-Q279,AA279*1.8+50000*(10^-L279)-Q279))</f>
        <v>-12.318690808534368</v>
      </c>
      <c r="W279" s="3">
        <v>0.185</v>
      </c>
      <c r="X279" s="3">
        <v>0.05</v>
      </c>
      <c r="Z279" s="3">
        <v>0.86</v>
      </c>
      <c r="AA279" s="3">
        <v>0.32800000000000001</v>
      </c>
      <c r="AB279" s="4">
        <v>177.99</v>
      </c>
      <c r="AC279" s="3">
        <v>48.55</v>
      </c>
      <c r="AD279" s="8">
        <v>18.09</v>
      </c>
      <c r="AE279" s="8">
        <v>7.88</v>
      </c>
      <c r="AF279" s="3">
        <v>2.4</v>
      </c>
      <c r="AG279" s="3">
        <v>11.6</v>
      </c>
      <c r="AH279" s="2">
        <v>0.05</v>
      </c>
      <c r="AI279" s="2">
        <v>0.03</v>
      </c>
      <c r="AJ279" s="3">
        <v>0.2</v>
      </c>
      <c r="AU279" s="13"/>
      <c r="AV279" s="13"/>
    </row>
    <row r="280" spans="1:48" x14ac:dyDescent="0.3">
      <c r="A280" s="5">
        <v>45169</v>
      </c>
      <c r="B280" s="12" t="s">
        <v>271</v>
      </c>
      <c r="C280" t="s">
        <v>149</v>
      </c>
      <c r="D280">
        <v>60154</v>
      </c>
      <c r="E280" t="s">
        <v>33</v>
      </c>
      <c r="F280" s="11">
        <v>40.672997000000002</v>
      </c>
      <c r="G280" s="11">
        <v>-79.002888999999996</v>
      </c>
      <c r="H280" t="s">
        <v>241</v>
      </c>
      <c r="J280" s="1" t="s">
        <v>219</v>
      </c>
      <c r="L280" s="2">
        <v>7.4</v>
      </c>
      <c r="M280" s="2">
        <v>6.3</v>
      </c>
      <c r="N280" s="1">
        <v>372</v>
      </c>
      <c r="O280" s="1">
        <v>381</v>
      </c>
      <c r="P280" s="3">
        <v>15.2</v>
      </c>
      <c r="Q280" s="4">
        <v>36</v>
      </c>
      <c r="R280" s="4">
        <v>33.6</v>
      </c>
      <c r="S280" s="4">
        <v>-22.6</v>
      </c>
      <c r="T280" s="4" cm="1">
        <f t="array" ref="T280">_xlfn.IFS(L280&lt;=5,IF(ISNUMBER(X280)=TRUE,X280*1.79+AA280*1.8+Z280*5.56+50000*(10^-L280)-Q280,1.79+AA280*1.8+Z280*5.56+50000*(10^-L280)-Q280),L280&gt;5,IF(ISNUMBER(X280)=TRUE,X280*1.79+AA280*1.8+50000*(10^-L280)-Q280,AA280*1.8+50000*(10^-L280)-Q280))</f>
        <v>-35.339709464147234</v>
      </c>
      <c r="W280" s="3">
        <v>0.77100000000000002</v>
      </c>
      <c r="X280" s="3">
        <v>0.05</v>
      </c>
      <c r="Z280" s="3">
        <v>1.55</v>
      </c>
      <c r="AA280" s="3">
        <v>0.316</v>
      </c>
      <c r="AB280" s="4">
        <v>141.76</v>
      </c>
      <c r="AC280" s="6">
        <v>43.4</v>
      </c>
      <c r="AD280" s="6">
        <v>15.1</v>
      </c>
      <c r="AE280" s="6">
        <v>6.29</v>
      </c>
      <c r="AF280" s="6">
        <v>2.17</v>
      </c>
      <c r="AG280" s="6">
        <v>7.9</v>
      </c>
      <c r="AH280" s="2">
        <v>0.05</v>
      </c>
      <c r="AI280" s="2">
        <v>0.03</v>
      </c>
      <c r="AJ280" s="3">
        <v>0.2</v>
      </c>
      <c r="AU280" s="13"/>
      <c r="AV280" s="13"/>
    </row>
    <row r="281" spans="1:48" s="7" customFormat="1" x14ac:dyDescent="0.3">
      <c r="A281" s="45" t="s">
        <v>144</v>
      </c>
      <c r="B281" s="46"/>
      <c r="F281" s="47"/>
      <c r="G281" s="47"/>
      <c r="I281" s="15"/>
      <c r="J281" s="20">
        <f>AVERAGE(J275:J279)</f>
        <v>848</v>
      </c>
      <c r="L281" s="15">
        <f t="shared" ref="L281:S281" si="140">AVERAGE(L275:L280)</f>
        <v>7.4333333333333327</v>
      </c>
      <c r="M281" s="15">
        <f t="shared" si="140"/>
        <v>6.5166666666666666</v>
      </c>
      <c r="N281" s="20">
        <f t="shared" si="140"/>
        <v>362.61666666666662</v>
      </c>
      <c r="O281" s="20">
        <f t="shared" si="140"/>
        <v>386.66666666666669</v>
      </c>
      <c r="P281" s="32">
        <f t="shared" si="140"/>
        <v>11.925000000000001</v>
      </c>
      <c r="Q281" s="19">
        <f>AVERAGE(Q275:Q280)</f>
        <v>21.5</v>
      </c>
      <c r="R281" s="19">
        <f t="shared" si="140"/>
        <v>21.266666666666666</v>
      </c>
      <c r="S281" s="19">
        <f t="shared" si="140"/>
        <v>-8.7000000000000011</v>
      </c>
      <c r="T281" s="19">
        <f>AVERAGE(T275:T279)</f>
        <v>-17.816650891911713</v>
      </c>
      <c r="U281" s="15">
        <f>AVERAGE(U275:U279)</f>
        <v>10.375</v>
      </c>
      <c r="V281" s="15">
        <f>AVERAGE(V275:V279)</f>
        <v>88.2</v>
      </c>
      <c r="W281" s="32">
        <f>AVERAGE(W275:W280)</f>
        <v>0.4945</v>
      </c>
      <c r="X281" s="32">
        <f t="shared" ref="X281:AA281" si="141">AVERAGE(X275:X280)</f>
        <v>7.5833333333333322E-2</v>
      </c>
      <c r="Y281" s="32"/>
      <c r="Z281" s="32">
        <f t="shared" si="141"/>
        <v>1.5706666666666669</v>
      </c>
      <c r="AA281" s="32">
        <f t="shared" si="141"/>
        <v>0.34733333333333333</v>
      </c>
      <c r="AB281" s="19">
        <f>AVERAGE(AB275:AB280)</f>
        <v>150.56599999999997</v>
      </c>
      <c r="AC281" s="32">
        <f>AVERAGE(AC275:AC280)</f>
        <v>41.30833333333333</v>
      </c>
      <c r="AD281" s="32">
        <f t="shared" ref="AD281:AG281" si="142">AVERAGE(AD275:AD280)</f>
        <v>15.385</v>
      </c>
      <c r="AE281" s="32">
        <f t="shared" si="142"/>
        <v>7.0966666666666667</v>
      </c>
      <c r="AF281" s="32">
        <f t="shared" si="142"/>
        <v>2.1416666666666666</v>
      </c>
      <c r="AG281" s="32">
        <f t="shared" si="142"/>
        <v>10.083333333333334</v>
      </c>
      <c r="AH281" s="15">
        <f>AVERAGE(AH275:AH279)</f>
        <v>0.05</v>
      </c>
      <c r="AI281" s="15">
        <f>AVERAGE(AI275:AI279)</f>
        <v>3.3500000000000002E-2</v>
      </c>
      <c r="AJ281" s="32">
        <f>AVERAGE(AJ275:AJ279)</f>
        <v>0.2</v>
      </c>
      <c r="AK281" s="32"/>
      <c r="AL281" s="32"/>
      <c r="AM281" s="32"/>
      <c r="AN281" s="32">
        <f t="shared" ref="AN281:AS281" si="143">AVERAGE(AN275:AN279)</f>
        <v>-144.27840000000003</v>
      </c>
      <c r="AO281" s="32">
        <f t="shared" si="143"/>
        <v>3.5249279999999996</v>
      </c>
      <c r="AP281" s="32">
        <f t="shared" si="143"/>
        <v>14.965385999999999</v>
      </c>
      <c r="AQ281" s="32">
        <f t="shared" si="143"/>
        <v>3.7287420000000004</v>
      </c>
      <c r="AR281" s="32">
        <f t="shared" si="143"/>
        <v>439.81002000000001</v>
      </c>
      <c r="AS281" s="32">
        <f t="shared" si="143"/>
        <v>310.39920000000001</v>
      </c>
      <c r="AU281" s="48"/>
      <c r="AV281" s="48"/>
    </row>
    <row r="282" spans="1:48" x14ac:dyDescent="0.3">
      <c r="F282" s="11"/>
      <c r="G282" s="11"/>
      <c r="AD282" s="8"/>
      <c r="AE282" s="8"/>
      <c r="AU282" s="13"/>
      <c r="AV282" s="13"/>
    </row>
    <row r="283" spans="1:48" x14ac:dyDescent="0.3">
      <c r="A283" s="5">
        <v>44845</v>
      </c>
      <c r="B283" s="12" t="s">
        <v>29</v>
      </c>
      <c r="C283" t="s">
        <v>30</v>
      </c>
      <c r="E283" t="s">
        <v>31</v>
      </c>
      <c r="F283" s="11">
        <v>40.669035000000001</v>
      </c>
      <c r="G283" s="11">
        <v>-79.013497999999998</v>
      </c>
      <c r="H283" t="s">
        <v>92</v>
      </c>
      <c r="I283" s="2">
        <v>2.95</v>
      </c>
      <c r="J283" s="1">
        <v>6719</v>
      </c>
      <c r="K283" t="s">
        <v>96</v>
      </c>
      <c r="L283" s="2">
        <v>7.76</v>
      </c>
      <c r="M283" s="2">
        <v>7.5</v>
      </c>
      <c r="N283" s="1">
        <v>408</v>
      </c>
      <c r="O283" s="1">
        <v>413</v>
      </c>
      <c r="P283" s="3">
        <v>10.199999999999999</v>
      </c>
      <c r="Q283" s="4">
        <v>98</v>
      </c>
      <c r="R283" s="4">
        <v>87.8</v>
      </c>
      <c r="S283" s="4">
        <v>-75.400000000000006</v>
      </c>
      <c r="T283" s="4" cm="1">
        <f t="array" ref="T283">_xlfn.IFS(L283&lt;=5,IF(ISNUMBER(X283)=TRUE,X283*1.79+AA283*1.8+Z283*5.56+50000*(10^-L283)-Q283,1.79+AA283*1.8+Z283*5.56+50000*(10^-L283)-Q283),L283&gt;5,IF(ISNUMBER(X283)=TRUE,X283*1.79+AA283*1.8+50000*(10^-L283)-Q283,AA283*1.8+50000*(10^-L283)-Q283))</f>
        <v>-97.397521099585632</v>
      </c>
      <c r="U283" s="2">
        <v>9.4499999999999993</v>
      </c>
      <c r="V283" s="2">
        <v>88.4</v>
      </c>
      <c r="W283" s="3">
        <v>1.1339999999999999</v>
      </c>
      <c r="X283" s="3">
        <v>0.13900000000000001</v>
      </c>
      <c r="Z283" s="3">
        <v>0.44</v>
      </c>
      <c r="AA283" s="3">
        <v>0.19600000000000001</v>
      </c>
      <c r="AB283" s="4">
        <v>105.49</v>
      </c>
      <c r="AC283" s="3">
        <v>38.19</v>
      </c>
      <c r="AD283" s="8">
        <v>11</v>
      </c>
      <c r="AE283" s="8">
        <v>31.08</v>
      </c>
      <c r="AF283" s="3">
        <v>1.97</v>
      </c>
      <c r="AG283" s="3">
        <v>10.6</v>
      </c>
      <c r="AH283" s="2" t="s">
        <v>161</v>
      </c>
      <c r="AI283" s="2" t="s">
        <v>162</v>
      </c>
      <c r="AJ283" s="3" t="s">
        <v>159</v>
      </c>
      <c r="AN283" s="1">
        <f>S283*J283*0.012</f>
        <v>-6079.351200000001</v>
      </c>
      <c r="AO283" s="1">
        <f>W283*J283*0.012</f>
        <v>91.432152000000002</v>
      </c>
      <c r="AP283" s="1">
        <f>Z283*J283*0.012</f>
        <v>35.476320000000001</v>
      </c>
      <c r="AQ283" s="1">
        <f>AA283*J283*0.012</f>
        <v>15.803088000000001</v>
      </c>
      <c r="AR283" s="1">
        <f>AB283*J283*0.012</f>
        <v>8505.4477200000001</v>
      </c>
      <c r="AS283" s="1">
        <f t="shared" si="125"/>
        <v>7079.1384000000007</v>
      </c>
      <c r="AU283" s="13" t="str">
        <f>CONCATENATE(TEXT(ROUNDDOWN(ABS(F283),0),"00"),"° ",TEXT(ROUNDDOWN(ABS((F283-ROUNDDOWN(F283,0))*60),0),"00"),"' ",TEXT(TRUNC((ABS((F283-ROUNDDOWN(F283,0))*60)-ROUNDDOWN(ABS((F283-ROUNDDOWN(F283,0))*60),0))*60,2),"00.00"),"""",IF(F283&lt;0," S"," N"))</f>
        <v>40° 40' 08.52" N</v>
      </c>
      <c r="AV283" s="13" t="str">
        <f>CONCATENATE(TEXT(ROUNDDOWN(ABS(G283),0),"000"),"° ",TEXT(ROUNDDOWN(ABS((G283-ROUNDDOWN(G283,0))*60),0),"00"),"' ",TEXT(TRUNC((ABS((G283-ROUNDDOWN(G283,0))*60)-ROUNDDOWN(ABS((G283-ROUNDDOWN(G283,0))*60),0))*60,2),"00.00"),"""",IF(G283&lt;0," W"," E"))</f>
        <v>079° 00' 48.59" W</v>
      </c>
    </row>
    <row r="284" spans="1:48" x14ac:dyDescent="0.3">
      <c r="A284" s="5">
        <v>44903</v>
      </c>
      <c r="B284" s="12" t="s">
        <v>29</v>
      </c>
      <c r="C284" t="s">
        <v>30</v>
      </c>
      <c r="E284" t="s">
        <v>31</v>
      </c>
      <c r="F284" s="11">
        <v>40.669035000000001</v>
      </c>
      <c r="G284" s="11">
        <v>-79.013497999999998</v>
      </c>
      <c r="H284" t="s">
        <v>92</v>
      </c>
      <c r="I284" s="2">
        <v>2.95</v>
      </c>
      <c r="J284" s="1">
        <v>22376</v>
      </c>
      <c r="K284" t="s">
        <v>96</v>
      </c>
      <c r="L284" s="2">
        <v>7.55</v>
      </c>
      <c r="M284" s="2">
        <v>7.2</v>
      </c>
      <c r="N284" s="1">
        <v>244.9</v>
      </c>
      <c r="O284" s="1">
        <v>253</v>
      </c>
      <c r="P284" s="3">
        <v>7.9</v>
      </c>
      <c r="Q284" s="4">
        <v>48.5</v>
      </c>
      <c r="R284" s="4">
        <v>52</v>
      </c>
      <c r="S284" s="4">
        <v>-35</v>
      </c>
      <c r="T284" s="4" cm="1">
        <f t="array" ref="T284">_xlfn.IFS(L284&lt;=5,IF(ISNUMBER(X284)=TRUE,X284*1.79+AA284*1.8+Z284*5.56+50000*(10^-L284)-Q284,1.79+AA284*1.8+Z284*5.56+50000*(10^-L284)-Q284),L284&gt;5,IF(ISNUMBER(X284)=TRUE,X284*1.79+AA284*1.8+50000*(10^-L284)-Q284,AA284*1.8+50000*(10^-L284)-Q284))</f>
        <v>-47.978180808534368</v>
      </c>
      <c r="U284" s="2">
        <v>11.19</v>
      </c>
      <c r="V284" s="2">
        <v>94.5</v>
      </c>
      <c r="W284" s="3">
        <v>0.88800000000000001</v>
      </c>
      <c r="X284" s="3">
        <v>0.159</v>
      </c>
      <c r="Z284" s="3">
        <v>0.441</v>
      </c>
      <c r="AA284" s="3">
        <v>0.13100000000000001</v>
      </c>
      <c r="AC284" s="3">
        <v>23.96</v>
      </c>
      <c r="AD284" s="8">
        <v>7.18</v>
      </c>
      <c r="AE284" s="8">
        <v>14.59</v>
      </c>
      <c r="AF284" s="3">
        <v>1.73</v>
      </c>
      <c r="AG284" s="3">
        <v>8.9</v>
      </c>
      <c r="AH284" s="2" t="s">
        <v>161</v>
      </c>
      <c r="AI284" s="2" t="s">
        <v>162</v>
      </c>
      <c r="AJ284" s="3" t="s">
        <v>159</v>
      </c>
      <c r="AN284" s="1">
        <f>S284*J284*0.012</f>
        <v>-9397.92</v>
      </c>
      <c r="AO284" s="1">
        <f>W284*J284*0.012</f>
        <v>238.43865599999998</v>
      </c>
      <c r="AP284" s="1">
        <f>Z284*J284*0.012</f>
        <v>118.41379200000002</v>
      </c>
      <c r="AQ284" s="1">
        <f>AA284*J284*0.012</f>
        <v>35.175072000000007</v>
      </c>
      <c r="AR284" s="1">
        <f>AB284*J284*0.012</f>
        <v>0</v>
      </c>
      <c r="AS284" s="1">
        <f t="shared" si="125"/>
        <v>13962.624</v>
      </c>
      <c r="AU284" s="13"/>
      <c r="AV284" s="13"/>
    </row>
    <row r="285" spans="1:48" x14ac:dyDescent="0.3">
      <c r="A285" s="5">
        <v>44964</v>
      </c>
      <c r="B285" s="12" t="s">
        <v>29</v>
      </c>
      <c r="C285" t="s">
        <v>30</v>
      </c>
      <c r="E285" t="s">
        <v>31</v>
      </c>
      <c r="F285" s="11"/>
      <c r="G285" s="11"/>
      <c r="H285" t="s">
        <v>241</v>
      </c>
      <c r="J285" s="1" t="s">
        <v>102</v>
      </c>
      <c r="L285" s="2">
        <v>7.55</v>
      </c>
      <c r="M285" s="2">
        <v>6.8</v>
      </c>
      <c r="N285" s="1">
        <v>259</v>
      </c>
      <c r="O285" s="1">
        <v>297</v>
      </c>
      <c r="Q285" s="4">
        <v>46</v>
      </c>
      <c r="R285" s="4">
        <v>48.8</v>
      </c>
      <c r="S285" s="4">
        <v>-42.8</v>
      </c>
      <c r="T285" s="4" cm="1">
        <f t="array" ref="T285">_xlfn.IFS(L285&lt;=5,IF(ISNUMBER(X285)=TRUE,X285*1.79+AA285*1.8+Z285*5.56+50000*(10^-L285)-Q285,1.79+AA285*1.8+Z285*5.56+50000*(10^-L285)-Q285),L285&gt;5,IF(ISNUMBER(X285)=TRUE,X285*1.79+AA285*1.8+50000*(10^-L285)-Q285,AA285*1.8+50000*(10^-L285)-Q285))</f>
        <v>-45.380980808534368</v>
      </c>
      <c r="W285" s="3">
        <v>1.0649999999999999</v>
      </c>
      <c r="X285" s="3">
        <v>0.159</v>
      </c>
      <c r="Z285" s="3">
        <v>0.71</v>
      </c>
      <c r="AA285" s="3">
        <v>0.185</v>
      </c>
      <c r="AB285" s="4">
        <v>73.73</v>
      </c>
      <c r="AC285" s="3">
        <v>27.69</v>
      </c>
      <c r="AD285" s="8">
        <v>8.36</v>
      </c>
      <c r="AE285" s="8">
        <v>17.829999999999998</v>
      </c>
      <c r="AF285" s="3">
        <v>1.46</v>
      </c>
      <c r="AG285" s="3">
        <v>9.9</v>
      </c>
      <c r="AH285" s="2" t="s">
        <v>161</v>
      </c>
      <c r="AI285" s="2" t="s">
        <v>162</v>
      </c>
      <c r="AJ285" s="3" t="s">
        <v>159</v>
      </c>
      <c r="AU285" s="13"/>
      <c r="AV285" s="13"/>
    </row>
    <row r="286" spans="1:48" x14ac:dyDescent="0.3">
      <c r="A286" s="5">
        <v>45022</v>
      </c>
      <c r="B286" s="12" t="s">
        <v>48</v>
      </c>
      <c r="C286" t="s">
        <v>30</v>
      </c>
      <c r="E286" t="s">
        <v>31</v>
      </c>
      <c r="F286" s="11"/>
      <c r="G286" s="11"/>
      <c r="H286" t="s">
        <v>245</v>
      </c>
      <c r="J286" s="1">
        <v>27627</v>
      </c>
      <c r="K286" t="s">
        <v>96</v>
      </c>
      <c r="L286" s="2">
        <v>7.55</v>
      </c>
      <c r="M286" s="2">
        <v>6.5</v>
      </c>
      <c r="N286" s="1">
        <v>234</v>
      </c>
      <c r="O286" s="1">
        <v>255</v>
      </c>
      <c r="R286" s="4">
        <v>45.6</v>
      </c>
      <c r="S286" s="4">
        <v>-32.6</v>
      </c>
      <c r="T286" s="4" cm="1">
        <f t="array" ref="T286">_xlfn.IFS(L286&lt;=5,IF(ISNUMBER(X286)=TRUE,X286*1.79+AA286*1.8+Z286*5.56+50000*(10^-L286)-R286,1.79+AA286*1.8+Z286*5.56+50000*(10^-L286)-R286),L286&gt;5,IF(ISNUMBER(X286)=TRUE,X286*1.79+AA286*1.8+50000*(10^-L286)-R286,AA286*1.8+50000*(10^-L286)-R286))</f>
        <v>-45.233840808534367</v>
      </c>
      <c r="W286" s="3">
        <v>0.80200000000000005</v>
      </c>
      <c r="X286" s="3">
        <v>6.5000000000000002E-2</v>
      </c>
      <c r="Z286" s="3">
        <v>0.621</v>
      </c>
      <c r="AA286" s="3">
        <v>0.13800000000000001</v>
      </c>
      <c r="AB286" s="4">
        <v>62.74</v>
      </c>
      <c r="AC286" s="3">
        <v>26</v>
      </c>
      <c r="AD286" s="8">
        <v>7.54</v>
      </c>
      <c r="AE286" s="8">
        <v>14.6</v>
      </c>
      <c r="AF286" s="3">
        <v>1.54</v>
      </c>
      <c r="AG286" s="3">
        <v>9.1999999999999993</v>
      </c>
      <c r="AH286" s="2" t="s">
        <v>161</v>
      </c>
      <c r="AI286" s="2" t="s">
        <v>162</v>
      </c>
      <c r="AJ286" s="3" t="s">
        <v>159</v>
      </c>
      <c r="AN286" s="1">
        <f>S286*J286*0.012</f>
        <v>-10807.682400000002</v>
      </c>
      <c r="AO286" s="1">
        <f>W286*J286*0.012</f>
        <v>265.88224800000006</v>
      </c>
      <c r="AP286" s="1">
        <f>Z286*J286*0.012</f>
        <v>205.87640399999998</v>
      </c>
      <c r="AQ286" s="1">
        <f>AA286*J286*0.012</f>
        <v>45.750312000000001</v>
      </c>
      <c r="AR286" s="1">
        <f>AB286*J286*0.012</f>
        <v>20799.815760000001</v>
      </c>
      <c r="AS286" s="1">
        <f t="shared" si="125"/>
        <v>15117.494400000001</v>
      </c>
      <c r="AU286" s="13"/>
      <c r="AV286" s="13"/>
    </row>
    <row r="287" spans="1:48" x14ac:dyDescent="0.3">
      <c r="A287" s="5">
        <v>45098</v>
      </c>
      <c r="B287" s="12" t="s">
        <v>273</v>
      </c>
      <c r="C287" t="s">
        <v>30</v>
      </c>
      <c r="E287" t="s">
        <v>31</v>
      </c>
      <c r="F287" s="11"/>
      <c r="G287" s="11"/>
      <c r="H287" t="s">
        <v>241</v>
      </c>
      <c r="J287" s="1">
        <v>5438</v>
      </c>
      <c r="K287" t="s">
        <v>96</v>
      </c>
      <c r="L287" s="2">
        <v>8.1</v>
      </c>
      <c r="M287" s="2">
        <v>7.6</v>
      </c>
      <c r="N287" s="1">
        <v>503</v>
      </c>
      <c r="O287" s="1">
        <v>482</v>
      </c>
      <c r="P287" s="3">
        <v>20</v>
      </c>
      <c r="Q287" s="4">
        <v>98</v>
      </c>
      <c r="R287" s="4">
        <v>111</v>
      </c>
      <c r="S287" s="4">
        <v>-92.4</v>
      </c>
      <c r="T287" s="4" cm="1">
        <f t="array" ref="T287">_xlfn.IFS(L287&lt;=5,IF(ISNUMBER(X287)=TRUE,X287*1.79+AA287*1.8+Z287*5.56+50000*(10^-L287)-Q287,1.79+AA287*1.8+Z287*5.56+50000*(10^-L287)-Q287),L287&gt;5,IF(ISNUMBER(X287)=TRUE,X287*1.79+AA287*1.8+50000*(10^-L287)-Q287,AA287*1.8+50000*(10^-L287)-Q287))</f>
        <v>-97.595102835882642</v>
      </c>
      <c r="W287" s="3">
        <v>0.624</v>
      </c>
      <c r="X287" s="3">
        <v>0.05</v>
      </c>
      <c r="Z287" s="3">
        <v>0.308</v>
      </c>
      <c r="AA287" s="3">
        <v>0.17499999999999999</v>
      </c>
      <c r="AB287" s="4">
        <v>118.62</v>
      </c>
      <c r="AC287" s="3">
        <v>43.97</v>
      </c>
      <c r="AD287" s="8">
        <v>12</v>
      </c>
      <c r="AE287" s="8">
        <v>40.56</v>
      </c>
      <c r="AF287" s="3">
        <v>2.0499999999999998</v>
      </c>
      <c r="AG287" s="3">
        <v>11</v>
      </c>
      <c r="AH287" s="2">
        <v>0.05</v>
      </c>
      <c r="AI287" s="2">
        <v>0.03</v>
      </c>
      <c r="AJ287" s="3">
        <v>0.2</v>
      </c>
      <c r="AN287" s="1">
        <f>S287*J287*0.012</f>
        <v>-6029.6544000000004</v>
      </c>
      <c r="AO287" s="1">
        <f>W287*J287*0.012</f>
        <v>40.719743999999999</v>
      </c>
      <c r="AP287" s="1">
        <f>Z287*J287*0.012</f>
        <v>20.098848</v>
      </c>
      <c r="AQ287" s="1">
        <f>AA287*J287*0.012</f>
        <v>11.4198</v>
      </c>
      <c r="AR287" s="1">
        <f>AB287*J287*0.012</f>
        <v>7740.6667200000011</v>
      </c>
      <c r="AS287" s="1">
        <f t="shared" si="125"/>
        <v>7243.4160000000002</v>
      </c>
      <c r="AU287" s="13"/>
      <c r="AV287" s="13"/>
    </row>
    <row r="288" spans="1:48" x14ac:dyDescent="0.3">
      <c r="A288" s="5">
        <v>45169</v>
      </c>
      <c r="B288" s="12" t="s">
        <v>273</v>
      </c>
      <c r="C288" t="s">
        <v>30</v>
      </c>
      <c r="E288" t="s">
        <v>31</v>
      </c>
      <c r="F288" s="11"/>
      <c r="G288" s="11"/>
      <c r="H288" t="s">
        <v>241</v>
      </c>
      <c r="L288" s="2">
        <v>8.0500000000000007</v>
      </c>
      <c r="M288" s="2">
        <v>6.7</v>
      </c>
      <c r="N288" s="1">
        <v>317</v>
      </c>
      <c r="O288" s="1">
        <v>322</v>
      </c>
      <c r="P288" s="3">
        <v>17.899999999999999</v>
      </c>
      <c r="Q288" s="4">
        <v>70</v>
      </c>
      <c r="R288" s="4">
        <v>65.2</v>
      </c>
      <c r="S288" s="4">
        <v>-55.8</v>
      </c>
      <c r="T288" s="4" cm="1">
        <f t="array" ref="T288">_xlfn.IFS(L288&lt;=5,IF(ISNUMBER(X288)=TRUE,X288*1.79+AA288*1.8+Z288*5.56+50000*(10^-L288)-Q288,1.79+AA288*1.8+Z288*5.56+50000*(10^-L288)-Q288),L288&gt;5,IF(ISNUMBER(X288)=TRUE,X288*1.79+AA288*1.8+50000*(10^-L288)-Q288,AA288*1.8+50000*(10^-L288)-Q288))</f>
        <v>-69.694054374530936</v>
      </c>
      <c r="W288" s="3">
        <v>0.80400000000000005</v>
      </c>
      <c r="X288" s="3">
        <v>0.05</v>
      </c>
      <c r="Z288" s="3">
        <v>0.45400000000000001</v>
      </c>
      <c r="AA288" s="3">
        <v>0.12</v>
      </c>
      <c r="AB288" s="4">
        <v>78.709999999999994</v>
      </c>
      <c r="AC288" s="6">
        <v>31.3</v>
      </c>
      <c r="AD288" s="6">
        <v>8.59</v>
      </c>
      <c r="AE288" s="6">
        <v>18.399999999999999</v>
      </c>
      <c r="AF288" s="6">
        <v>1.75</v>
      </c>
      <c r="AG288" s="6">
        <v>8.6</v>
      </c>
      <c r="AH288" s="2">
        <v>0.05</v>
      </c>
      <c r="AI288" s="2">
        <v>0.03</v>
      </c>
      <c r="AJ288" s="3">
        <v>0.2</v>
      </c>
      <c r="AU288" s="13"/>
      <c r="AV288" s="13"/>
    </row>
    <row r="289" spans="1:48" s="7" customFormat="1" x14ac:dyDescent="0.3">
      <c r="A289" s="45" t="s">
        <v>144</v>
      </c>
      <c r="B289" s="46"/>
      <c r="F289" s="47"/>
      <c r="G289" s="47"/>
      <c r="I289" s="15"/>
      <c r="J289" s="20">
        <f>AVERAGE(J283:J287)</f>
        <v>15540</v>
      </c>
      <c r="L289" s="15">
        <f t="shared" ref="L289:S289" si="144">AVERAGE(L283:L288)</f>
        <v>7.7600000000000007</v>
      </c>
      <c r="M289" s="15">
        <f t="shared" si="144"/>
        <v>7.0500000000000007</v>
      </c>
      <c r="N289" s="20">
        <f t="shared" si="144"/>
        <v>327.65000000000003</v>
      </c>
      <c r="O289" s="20">
        <f t="shared" si="144"/>
        <v>337</v>
      </c>
      <c r="P289" s="32">
        <f t="shared" si="144"/>
        <v>14</v>
      </c>
      <c r="Q289" s="19">
        <f t="shared" si="144"/>
        <v>72.099999999999994</v>
      </c>
      <c r="R289" s="19">
        <f t="shared" si="144"/>
        <v>68.400000000000006</v>
      </c>
      <c r="S289" s="19">
        <f t="shared" si="144"/>
        <v>-55.666666666666664</v>
      </c>
      <c r="T289" s="19">
        <f>AVERAGE(T283:T287)</f>
        <v>-66.717125272214275</v>
      </c>
      <c r="U289" s="15">
        <f>AVERAGE(U283:U287)</f>
        <v>10.32</v>
      </c>
      <c r="V289" s="15">
        <f>AVERAGE(V283:V287)</f>
        <v>91.45</v>
      </c>
      <c r="W289" s="32">
        <f>AVERAGE(W283:W288)</f>
        <v>0.88616666666666666</v>
      </c>
      <c r="X289" s="32">
        <f t="shared" ref="X289:AA289" si="145">AVERAGE(X283:X288)</f>
        <v>0.10366666666666668</v>
      </c>
      <c r="Y289" s="32"/>
      <c r="Z289" s="32">
        <f t="shared" si="145"/>
        <v>0.49566666666666664</v>
      </c>
      <c r="AA289" s="32">
        <f t="shared" si="145"/>
        <v>0.1575</v>
      </c>
      <c r="AB289" s="19">
        <f>AVERAGE(AB283:AB288)</f>
        <v>87.858000000000004</v>
      </c>
      <c r="AC289" s="32">
        <f>AVERAGE(AC283:AC288)</f>
        <v>31.85166666666667</v>
      </c>
      <c r="AD289" s="32">
        <f t="shared" ref="AD289:AG289" si="146">AVERAGE(AD283:AD288)</f>
        <v>9.1116666666666664</v>
      </c>
      <c r="AE289" s="32">
        <f t="shared" si="146"/>
        <v>22.843333333333334</v>
      </c>
      <c r="AF289" s="32">
        <f t="shared" si="146"/>
        <v>1.75</v>
      </c>
      <c r="AG289" s="32">
        <f t="shared" si="146"/>
        <v>9.6999999999999993</v>
      </c>
      <c r="AH289" s="15">
        <f>AVERAGE(AH283:AH287)</f>
        <v>0.05</v>
      </c>
      <c r="AI289" s="15">
        <f>AVERAGE(AI283:AI287)</f>
        <v>0.03</v>
      </c>
      <c r="AJ289" s="32">
        <f>AVERAGE(AJ283:AJ287)</f>
        <v>0.2</v>
      </c>
      <c r="AK289" s="32"/>
      <c r="AL289" s="32"/>
      <c r="AM289" s="32"/>
      <c r="AN289" s="32">
        <f t="shared" ref="AN289:AS289" si="147">AVERAGE(AN283:AN287)</f>
        <v>-8078.652</v>
      </c>
      <c r="AO289" s="32">
        <f t="shared" si="147"/>
        <v>159.1182</v>
      </c>
      <c r="AP289" s="32">
        <f t="shared" si="147"/>
        <v>94.966341</v>
      </c>
      <c r="AQ289" s="32">
        <f t="shared" si="147"/>
        <v>27.037068000000001</v>
      </c>
      <c r="AR289" s="32">
        <f t="shared" si="147"/>
        <v>9261.4825500000006</v>
      </c>
      <c r="AS289" s="32">
        <f t="shared" si="147"/>
        <v>10850.6682</v>
      </c>
      <c r="AU289" s="48"/>
      <c r="AV289" s="48"/>
    </row>
    <row r="290" spans="1:48" x14ac:dyDescent="0.3">
      <c r="F290" s="11"/>
      <c r="G290" s="11"/>
      <c r="AD290" s="8"/>
      <c r="AE290" s="8"/>
      <c r="AU290" s="13"/>
      <c r="AV290" s="13"/>
    </row>
    <row r="291" spans="1:48" x14ac:dyDescent="0.3">
      <c r="A291" s="5">
        <v>31719</v>
      </c>
      <c r="C291" t="s">
        <v>171</v>
      </c>
      <c r="E291" t="s">
        <v>28</v>
      </c>
      <c r="F291" s="11"/>
      <c r="G291" s="11"/>
      <c r="H291" t="s">
        <v>178</v>
      </c>
      <c r="J291" s="1">
        <v>2648.1</v>
      </c>
      <c r="M291" s="2">
        <v>5.9</v>
      </c>
      <c r="R291" s="4" t="s">
        <v>172</v>
      </c>
      <c r="W291" s="3">
        <v>2.06</v>
      </c>
      <c r="X291" s="3" t="s">
        <v>172</v>
      </c>
      <c r="Z291" s="3" t="s">
        <v>173</v>
      </c>
      <c r="AA291" s="3">
        <v>0.69</v>
      </c>
      <c r="AB291" s="4" t="s">
        <v>172</v>
      </c>
      <c r="AD291" s="8"/>
      <c r="AE291" s="8"/>
      <c r="AU291" s="13"/>
      <c r="AV291" s="13"/>
    </row>
    <row r="292" spans="1:48" x14ac:dyDescent="0.3">
      <c r="A292" s="5">
        <v>31908</v>
      </c>
      <c r="C292" t="s">
        <v>171</v>
      </c>
      <c r="E292" t="s">
        <v>28</v>
      </c>
      <c r="F292" s="11"/>
      <c r="G292" s="11"/>
      <c r="H292" t="s">
        <v>178</v>
      </c>
      <c r="J292" s="1">
        <v>4937.1000000000004</v>
      </c>
      <c r="M292" s="2">
        <v>7.3</v>
      </c>
      <c r="R292" s="4" t="s">
        <v>172</v>
      </c>
      <c r="W292" s="3">
        <v>1.46</v>
      </c>
      <c r="X292" s="3" t="s">
        <v>172</v>
      </c>
      <c r="Z292" s="3">
        <v>0.6</v>
      </c>
      <c r="AA292" s="3">
        <v>0.35</v>
      </c>
      <c r="AB292" s="4">
        <v>140</v>
      </c>
      <c r="AD292" s="8"/>
      <c r="AE292" s="8"/>
      <c r="AU292" s="13"/>
      <c r="AV292" s="13"/>
    </row>
    <row r="293" spans="1:48" x14ac:dyDescent="0.3">
      <c r="A293" s="5">
        <v>32069</v>
      </c>
      <c r="C293" t="s">
        <v>171</v>
      </c>
      <c r="E293" t="s">
        <v>28</v>
      </c>
      <c r="F293" s="11"/>
      <c r="G293" s="11"/>
      <c r="H293" t="s">
        <v>178</v>
      </c>
      <c r="J293" s="1">
        <v>2109.5</v>
      </c>
      <c r="M293" s="2">
        <v>7.2</v>
      </c>
      <c r="R293" s="4" t="s">
        <v>172</v>
      </c>
      <c r="W293" s="3">
        <v>0.73</v>
      </c>
      <c r="X293" s="3" t="s">
        <v>172</v>
      </c>
      <c r="Z293" s="3">
        <v>0.2</v>
      </c>
      <c r="AA293" s="3">
        <v>0.62</v>
      </c>
      <c r="AB293" s="4" t="s">
        <v>172</v>
      </c>
      <c r="AD293" s="8"/>
      <c r="AE293" s="8"/>
      <c r="AU293" s="13"/>
      <c r="AV293" s="13"/>
    </row>
    <row r="294" spans="1:48" x14ac:dyDescent="0.3">
      <c r="A294" s="5">
        <v>32295</v>
      </c>
      <c r="C294" t="s">
        <v>171</v>
      </c>
      <c r="E294" t="s">
        <v>28</v>
      </c>
      <c r="F294" s="11"/>
      <c r="G294" s="11"/>
      <c r="H294" t="s">
        <v>178</v>
      </c>
      <c r="J294" s="1">
        <v>2378.8000000000002</v>
      </c>
      <c r="M294" s="2">
        <v>7.5</v>
      </c>
      <c r="R294" s="4" t="s">
        <v>172</v>
      </c>
      <c r="W294" s="3">
        <v>0.4</v>
      </c>
      <c r="X294" s="3" t="s">
        <v>172</v>
      </c>
      <c r="Z294" s="3">
        <v>0.4</v>
      </c>
      <c r="AA294" s="3">
        <v>0.5</v>
      </c>
      <c r="AB294" s="4" t="s">
        <v>172</v>
      </c>
      <c r="AD294" s="8"/>
      <c r="AE294" s="8"/>
      <c r="AU294" s="13"/>
      <c r="AV294" s="13"/>
    </row>
    <row r="295" spans="1:48" x14ac:dyDescent="0.3">
      <c r="A295" s="5">
        <v>32372</v>
      </c>
      <c r="C295" t="s">
        <v>171</v>
      </c>
      <c r="E295" t="s">
        <v>28</v>
      </c>
      <c r="F295" s="11"/>
      <c r="G295" s="11"/>
      <c r="H295" t="s">
        <v>178</v>
      </c>
      <c r="J295" s="1">
        <v>368</v>
      </c>
      <c r="M295" s="2">
        <v>8.4</v>
      </c>
      <c r="R295" s="4" t="s">
        <v>172</v>
      </c>
      <c r="W295" s="3">
        <v>0.12</v>
      </c>
      <c r="X295" s="3" t="s">
        <v>172</v>
      </c>
      <c r="Z295" s="3">
        <v>0.2</v>
      </c>
      <c r="AA295" s="3">
        <v>0.11</v>
      </c>
      <c r="AB295" s="4" t="s">
        <v>172</v>
      </c>
      <c r="AD295" s="8"/>
      <c r="AE295" s="8"/>
      <c r="AU295" s="13"/>
      <c r="AV295" s="13"/>
    </row>
    <row r="296" spans="1:48" x14ac:dyDescent="0.3">
      <c r="A296" s="5">
        <v>37408</v>
      </c>
      <c r="C296" t="s">
        <v>171</v>
      </c>
      <c r="E296" t="s">
        <v>28</v>
      </c>
      <c r="F296" s="11"/>
      <c r="G296" s="11"/>
      <c r="H296" t="s">
        <v>179</v>
      </c>
      <c r="J296" s="1" t="s">
        <v>172</v>
      </c>
      <c r="M296" s="2">
        <v>6.4</v>
      </c>
      <c r="R296" s="4">
        <v>24</v>
      </c>
      <c r="W296" s="3">
        <v>1.98</v>
      </c>
      <c r="X296" s="3" t="s">
        <v>172</v>
      </c>
      <c r="Z296" s="3">
        <v>1.86</v>
      </c>
      <c r="AA296" s="3">
        <v>0.38</v>
      </c>
      <c r="AB296" s="4">
        <v>103</v>
      </c>
      <c r="AD296" s="8"/>
      <c r="AE296" s="8"/>
      <c r="AU296" s="13"/>
      <c r="AV296" s="13"/>
    </row>
    <row r="297" spans="1:48" x14ac:dyDescent="0.3">
      <c r="A297" s="5">
        <v>36334</v>
      </c>
      <c r="C297" t="s">
        <v>171</v>
      </c>
      <c r="E297" t="s">
        <v>28</v>
      </c>
      <c r="F297" s="11"/>
      <c r="G297" s="11"/>
      <c r="H297" t="s">
        <v>180</v>
      </c>
      <c r="J297" s="1" t="s">
        <v>172</v>
      </c>
      <c r="M297" s="2">
        <v>5.6</v>
      </c>
      <c r="R297" s="4">
        <v>3.6</v>
      </c>
      <c r="W297" s="3">
        <v>2.15</v>
      </c>
      <c r="X297" s="3">
        <v>0.2</v>
      </c>
      <c r="Z297" s="3">
        <v>1.06</v>
      </c>
      <c r="AA297" s="3">
        <v>3.7</v>
      </c>
      <c r="AB297" s="4">
        <v>328.3</v>
      </c>
      <c r="AD297" s="8"/>
      <c r="AE297" s="8"/>
      <c r="AU297" s="13"/>
      <c r="AV297" s="13"/>
    </row>
    <row r="298" spans="1:48" x14ac:dyDescent="0.3">
      <c r="A298" s="5">
        <v>36549</v>
      </c>
      <c r="C298" t="s">
        <v>171</v>
      </c>
      <c r="E298" t="s">
        <v>28</v>
      </c>
      <c r="F298" s="11"/>
      <c r="G298" s="11"/>
      <c r="H298" t="s">
        <v>180</v>
      </c>
      <c r="J298" s="1" t="s">
        <v>172</v>
      </c>
      <c r="M298" s="2">
        <v>7.1</v>
      </c>
      <c r="R298" s="4">
        <v>104</v>
      </c>
      <c r="W298" s="3">
        <v>3.25</v>
      </c>
      <c r="X298" s="3">
        <v>0.79</v>
      </c>
      <c r="Z298" s="3">
        <v>0.316</v>
      </c>
      <c r="AA298" s="3">
        <v>1.39</v>
      </c>
      <c r="AB298" s="4">
        <v>98</v>
      </c>
      <c r="AD298" s="8"/>
      <c r="AE298" s="8"/>
      <c r="AU298" s="13"/>
      <c r="AV298" s="13"/>
    </row>
    <row r="299" spans="1:48" x14ac:dyDescent="0.3">
      <c r="A299" s="5">
        <v>36628</v>
      </c>
      <c r="C299" t="s">
        <v>171</v>
      </c>
      <c r="E299" t="s">
        <v>28</v>
      </c>
      <c r="F299" s="11"/>
      <c r="G299" s="11"/>
      <c r="H299" t="s">
        <v>180</v>
      </c>
      <c r="J299" s="1" t="s">
        <v>172</v>
      </c>
      <c r="M299" s="2">
        <v>6.8</v>
      </c>
      <c r="R299" s="4">
        <v>36</v>
      </c>
      <c r="W299" s="3">
        <v>1.35</v>
      </c>
      <c r="X299" s="3">
        <v>0.46</v>
      </c>
      <c r="Z299" s="3">
        <v>0.20899999999999999</v>
      </c>
      <c r="AA299" s="3">
        <v>0.97199999999999998</v>
      </c>
      <c r="AB299" s="4">
        <v>69</v>
      </c>
      <c r="AD299" s="8"/>
      <c r="AE299" s="8"/>
      <c r="AU299" s="13"/>
      <c r="AV299" s="13"/>
    </row>
    <row r="300" spans="1:48" x14ac:dyDescent="0.3">
      <c r="A300" s="5">
        <v>36719</v>
      </c>
      <c r="C300" t="s">
        <v>171</v>
      </c>
      <c r="E300" t="s">
        <v>28</v>
      </c>
      <c r="F300" s="11"/>
      <c r="G300" s="11"/>
      <c r="H300" t="s">
        <v>180</v>
      </c>
      <c r="J300" s="1" t="s">
        <v>172</v>
      </c>
      <c r="M300" s="2">
        <v>7.3</v>
      </c>
      <c r="R300" s="4">
        <v>136</v>
      </c>
      <c r="W300" s="3">
        <v>1.08</v>
      </c>
      <c r="X300" s="3">
        <v>0.21</v>
      </c>
      <c r="Z300" s="3">
        <v>0.25700000000000001</v>
      </c>
      <c r="AA300" s="3">
        <v>0.54400000000000004</v>
      </c>
      <c r="AB300" s="4">
        <v>383</v>
      </c>
      <c r="AD300" s="8"/>
      <c r="AE300" s="8"/>
      <c r="AU300" s="13"/>
      <c r="AV300" s="13"/>
    </row>
    <row r="301" spans="1:48" x14ac:dyDescent="0.3">
      <c r="A301" s="5">
        <v>36816</v>
      </c>
      <c r="C301" t="s">
        <v>171</v>
      </c>
      <c r="E301" t="s">
        <v>28</v>
      </c>
      <c r="F301" s="11"/>
      <c r="G301" s="11"/>
      <c r="H301" t="s">
        <v>180</v>
      </c>
      <c r="J301" s="1" t="s">
        <v>172</v>
      </c>
      <c r="M301" s="2">
        <v>7.3</v>
      </c>
      <c r="R301" s="4">
        <v>74</v>
      </c>
      <c r="W301" s="3">
        <v>1.68</v>
      </c>
      <c r="X301" s="3">
        <v>0.44</v>
      </c>
      <c r="Z301" s="3">
        <v>0.27700000000000002</v>
      </c>
      <c r="AA301" s="3">
        <v>0.74399999999999999</v>
      </c>
      <c r="AB301" s="4">
        <v>158</v>
      </c>
      <c r="AD301" s="8"/>
      <c r="AE301" s="8"/>
      <c r="AU301" s="13"/>
      <c r="AV301" s="13"/>
    </row>
    <row r="302" spans="1:48" x14ac:dyDescent="0.3">
      <c r="A302" s="5">
        <v>37371</v>
      </c>
      <c r="C302" t="s">
        <v>171</v>
      </c>
      <c r="E302" t="s">
        <v>28</v>
      </c>
      <c r="F302" s="11"/>
      <c r="G302" s="11"/>
      <c r="H302" t="s">
        <v>180</v>
      </c>
      <c r="J302" s="1" t="s">
        <v>172</v>
      </c>
      <c r="M302" s="2">
        <v>6.5</v>
      </c>
      <c r="R302" s="4">
        <v>30</v>
      </c>
      <c r="W302" s="3">
        <v>3</v>
      </c>
      <c r="X302" s="3">
        <v>0.45</v>
      </c>
      <c r="Z302" s="3">
        <v>0.46200000000000002</v>
      </c>
      <c r="AA302" s="3">
        <v>2.39</v>
      </c>
      <c r="AB302" s="4">
        <v>175</v>
      </c>
      <c r="AD302" s="8"/>
      <c r="AE302" s="8"/>
      <c r="AU302" s="13"/>
      <c r="AV302" s="13"/>
    </row>
    <row r="303" spans="1:48" x14ac:dyDescent="0.3">
      <c r="A303" s="5">
        <v>37457</v>
      </c>
      <c r="C303" t="s">
        <v>171</v>
      </c>
      <c r="E303" t="s">
        <v>28</v>
      </c>
      <c r="F303" s="11"/>
      <c r="G303" s="11"/>
      <c r="H303" t="s">
        <v>180</v>
      </c>
      <c r="J303" s="1" t="s">
        <v>172</v>
      </c>
      <c r="M303" s="2">
        <v>6.8</v>
      </c>
      <c r="R303" s="4">
        <v>28</v>
      </c>
      <c r="W303" s="3">
        <v>2.62</v>
      </c>
      <c r="X303" s="3">
        <v>0.02</v>
      </c>
      <c r="Z303" s="3">
        <v>1.02</v>
      </c>
      <c r="AA303" s="3">
        <v>6.31</v>
      </c>
      <c r="AB303" s="4">
        <v>419</v>
      </c>
      <c r="AD303" s="8"/>
      <c r="AE303" s="8"/>
      <c r="AU303" s="13"/>
      <c r="AV303" s="13"/>
    </row>
    <row r="304" spans="1:48" x14ac:dyDescent="0.3">
      <c r="A304" s="5">
        <v>37565</v>
      </c>
      <c r="C304" t="s">
        <v>171</v>
      </c>
      <c r="E304" t="s">
        <v>28</v>
      </c>
      <c r="F304" s="11"/>
      <c r="G304" s="11"/>
      <c r="H304" t="s">
        <v>180</v>
      </c>
      <c r="J304" s="1" t="s">
        <v>172</v>
      </c>
      <c r="M304" s="2">
        <v>6.6</v>
      </c>
      <c r="R304" s="4">
        <v>36</v>
      </c>
      <c r="W304" s="3">
        <v>1.94</v>
      </c>
      <c r="X304" s="3">
        <v>0.6</v>
      </c>
      <c r="Z304" s="3" t="s">
        <v>174</v>
      </c>
      <c r="AA304" s="3">
        <v>1.78</v>
      </c>
      <c r="AB304" s="4">
        <v>227</v>
      </c>
      <c r="AD304" s="8"/>
      <c r="AE304" s="8"/>
      <c r="AU304" s="13"/>
      <c r="AV304" s="13"/>
    </row>
    <row r="305" spans="1:48" x14ac:dyDescent="0.3">
      <c r="A305" s="5">
        <v>37651</v>
      </c>
      <c r="C305" t="s">
        <v>171</v>
      </c>
      <c r="E305" t="s">
        <v>28</v>
      </c>
      <c r="F305" s="11"/>
      <c r="G305" s="11"/>
      <c r="H305" t="s">
        <v>180</v>
      </c>
      <c r="J305" s="1" t="s">
        <v>172</v>
      </c>
      <c r="M305" s="2">
        <v>6.5</v>
      </c>
      <c r="R305" s="4">
        <v>20.8</v>
      </c>
      <c r="W305" s="3">
        <v>3.69</v>
      </c>
      <c r="X305" s="3">
        <v>2.0299999999999998</v>
      </c>
      <c r="Z305" s="3">
        <v>3.92</v>
      </c>
      <c r="AA305" s="3">
        <v>0.95800000000000007</v>
      </c>
      <c r="AB305" s="4">
        <v>318.2</v>
      </c>
      <c r="AD305" s="8"/>
      <c r="AE305" s="8"/>
      <c r="AU305" s="13"/>
      <c r="AV305" s="13"/>
    </row>
    <row r="306" spans="1:48" x14ac:dyDescent="0.3">
      <c r="A306" s="5">
        <v>37796</v>
      </c>
      <c r="C306" t="s">
        <v>171</v>
      </c>
      <c r="E306" t="s">
        <v>28</v>
      </c>
      <c r="F306" s="11"/>
      <c r="G306" s="11"/>
      <c r="H306" t="s">
        <v>180</v>
      </c>
      <c r="J306" s="1" t="s">
        <v>172</v>
      </c>
      <c r="M306" s="2">
        <v>6.7</v>
      </c>
      <c r="R306" s="4">
        <v>44</v>
      </c>
      <c r="W306" s="3">
        <v>2.63</v>
      </c>
      <c r="X306" s="3">
        <v>1.41</v>
      </c>
      <c r="Z306" s="3">
        <v>2.2999999999999998</v>
      </c>
      <c r="AA306" s="3">
        <v>0.68600000000000005</v>
      </c>
      <c r="AB306" s="4">
        <v>181.7</v>
      </c>
      <c r="AD306" s="8"/>
      <c r="AE306" s="8"/>
      <c r="AU306" s="13"/>
      <c r="AV306" s="13"/>
    </row>
    <row r="307" spans="1:48" x14ac:dyDescent="0.3">
      <c r="A307" s="5">
        <v>37925</v>
      </c>
      <c r="C307" t="s">
        <v>171</v>
      </c>
      <c r="E307" t="s">
        <v>28</v>
      </c>
      <c r="F307" s="11"/>
      <c r="G307" s="11"/>
      <c r="H307" t="s">
        <v>180</v>
      </c>
      <c r="J307" s="1" t="s">
        <v>172</v>
      </c>
      <c r="M307" s="2">
        <v>6.8</v>
      </c>
      <c r="R307" s="4">
        <v>42.2</v>
      </c>
      <c r="W307" s="3">
        <v>1.68</v>
      </c>
      <c r="X307" s="3">
        <v>0.36</v>
      </c>
      <c r="Z307" s="3">
        <v>1.73</v>
      </c>
      <c r="AA307" s="3">
        <v>0.76300000000000001</v>
      </c>
      <c r="AB307" s="4">
        <v>175.8</v>
      </c>
      <c r="AD307" s="8"/>
      <c r="AE307" s="8"/>
      <c r="AU307" s="13"/>
      <c r="AV307" s="13"/>
    </row>
    <row r="308" spans="1:48" x14ac:dyDescent="0.3">
      <c r="A308" s="5">
        <v>44845</v>
      </c>
      <c r="B308" s="12" t="s">
        <v>27</v>
      </c>
      <c r="C308" t="s">
        <v>148</v>
      </c>
      <c r="D308">
        <v>60152</v>
      </c>
      <c r="E308" t="s">
        <v>28</v>
      </c>
      <c r="F308" s="11">
        <v>40.670039000000003</v>
      </c>
      <c r="G308" s="11">
        <v>-79.015269000000004</v>
      </c>
      <c r="H308" t="s">
        <v>92</v>
      </c>
      <c r="I308" s="2">
        <v>2.86</v>
      </c>
      <c r="J308" s="1">
        <v>1590</v>
      </c>
      <c r="K308" t="s">
        <v>96</v>
      </c>
      <c r="L308" s="2">
        <v>6.61</v>
      </c>
      <c r="M308" s="2">
        <v>6.6</v>
      </c>
      <c r="N308" s="1">
        <v>712</v>
      </c>
      <c r="O308" s="1">
        <v>728</v>
      </c>
      <c r="P308" s="3">
        <v>9.6</v>
      </c>
      <c r="Q308" s="4">
        <v>28.5</v>
      </c>
      <c r="R308" s="4">
        <v>20.8</v>
      </c>
      <c r="S308" s="4">
        <v>2.2000000000000002</v>
      </c>
      <c r="T308" s="4" cm="1">
        <f t="array" ref="T308">_xlfn.IFS(L308&lt;=5,IF(ISNUMBER(X308)=TRUE,X308*1.79+AA308*1.8+Z308*5.56+50000*(10^-L308)-Q308,1.79+AA308*1.8+Z308*5.56+50000*(10^-L308)-Q308),L308&gt;5,IF(ISNUMBER(X308)=TRUE,X308*1.79+AA308*1.8+50000*(10^-L308)-Q308,AA308*1.8+50000*(10^-L308)-Q308))</f>
        <v>-22.328906455421574</v>
      </c>
      <c r="U308" s="2">
        <v>9.36</v>
      </c>
      <c r="V308" s="2">
        <v>82.5</v>
      </c>
      <c r="W308" s="3">
        <v>6.7169999999999996</v>
      </c>
      <c r="X308" s="3">
        <v>2.0579999999999998</v>
      </c>
      <c r="Z308" s="3">
        <v>4.6609999999999996</v>
      </c>
      <c r="AA308" s="3">
        <v>1.375</v>
      </c>
      <c r="AB308" s="4">
        <v>353.21</v>
      </c>
      <c r="AC308" s="3">
        <v>85.53</v>
      </c>
      <c r="AD308" s="8">
        <v>30.17</v>
      </c>
      <c r="AE308" s="8">
        <v>19.39</v>
      </c>
      <c r="AF308" s="3">
        <v>2.44</v>
      </c>
      <c r="AG308" s="3">
        <v>8.9</v>
      </c>
      <c r="AH308" s="2">
        <v>6.3E-2</v>
      </c>
      <c r="AI308" s="2">
        <v>0.122</v>
      </c>
      <c r="AJ308" s="3" t="s">
        <v>159</v>
      </c>
      <c r="AN308" s="1">
        <f t="shared" ref="AN308:AN312" si="148">S308*J308*0.012</f>
        <v>41.976000000000006</v>
      </c>
      <c r="AO308" s="1">
        <f t="shared" ref="AO308:AO312" si="149">W308*J308*0.012</f>
        <v>128.16036</v>
      </c>
      <c r="AP308" s="1">
        <f t="shared" ref="AP308:AP313" si="150">Z308*J308*0.012</f>
        <v>88.931879999999992</v>
      </c>
      <c r="AQ308" s="1">
        <f t="shared" ref="AQ308:AQ313" si="151">AA308*J308*0.012</f>
        <v>26.234999999999999</v>
      </c>
      <c r="AR308" s="1">
        <f>AB308*J308*0.012</f>
        <v>6739.2468000000008</v>
      </c>
      <c r="AS308" s="1">
        <f t="shared" ref="AS308:AS331" si="152">0.012*R308*J308</f>
        <v>396.86400000000003</v>
      </c>
      <c r="AU308" s="13" t="str">
        <f>CONCATENATE(TEXT(ROUNDDOWN(ABS(F308),0),"00"),"° ",TEXT(ROUNDDOWN(ABS((F308-ROUNDDOWN(F308,0))*60),0),"00"),"' ",TEXT(TRUNC((ABS((F308-ROUNDDOWN(F308,0))*60)-ROUNDDOWN(ABS((F308-ROUNDDOWN(F308,0))*60),0))*60,2),"00.00"),"""",IF(F308&lt;0," S"," N"))</f>
        <v>40° 40' 12.14" N</v>
      </c>
      <c r="AV308" s="13" t="str">
        <f>CONCATENATE(TEXT(ROUNDDOWN(ABS(G308),0),"000"),"° ",TEXT(ROUNDDOWN(ABS((G308-ROUNDDOWN(G308,0))*60),0),"00"),"' ",TEXT(TRUNC((ABS((G308-ROUNDDOWN(G308,0))*60)-ROUNDDOWN(ABS((G308-ROUNDDOWN(G308,0))*60),0))*60,2),"00.00"),"""",IF(G308&lt;0," W"," E"))</f>
        <v>079° 00' 54.96" W</v>
      </c>
    </row>
    <row r="309" spans="1:48" x14ac:dyDescent="0.3">
      <c r="A309" s="5">
        <v>44903</v>
      </c>
      <c r="B309" s="12" t="s">
        <v>27</v>
      </c>
      <c r="C309" t="s">
        <v>148</v>
      </c>
      <c r="D309">
        <v>60152</v>
      </c>
      <c r="E309" t="s">
        <v>28</v>
      </c>
      <c r="F309" s="11">
        <v>40.670039000000003</v>
      </c>
      <c r="G309" s="11">
        <v>-79.015269000000004</v>
      </c>
      <c r="H309" t="s">
        <v>92</v>
      </c>
      <c r="I309" s="2">
        <v>2.86</v>
      </c>
      <c r="J309" s="1">
        <v>5499</v>
      </c>
      <c r="K309" t="s">
        <v>96</v>
      </c>
      <c r="L309" s="2">
        <v>7.21</v>
      </c>
      <c r="M309" s="2">
        <v>7</v>
      </c>
      <c r="N309" s="1">
        <v>397.6</v>
      </c>
      <c r="O309" s="1">
        <v>404</v>
      </c>
      <c r="P309" s="3">
        <v>8.3000000000000007</v>
      </c>
      <c r="Q309" s="4">
        <v>47</v>
      </c>
      <c r="R309" s="4">
        <v>50</v>
      </c>
      <c r="S309" s="4">
        <v>-33.4</v>
      </c>
      <c r="T309" s="4" cm="1">
        <f t="array" ref="T309">_xlfn.IFS(L309&lt;=5,IF(ISNUMBER(X309)=TRUE,X309*1.79+AA309*1.8+Z309*5.56+50000*(10^-L309)-Q309,1.79+AA309*1.8+Z309*5.56+50000*(10^-L309)-Q309),L309&gt;5,IF(ISNUMBER(X309)=TRUE,X309*1.79+AA309*1.8+50000*(10^-L309)-Q309,AA309*1.8+50000*(10^-L309)-Q309))</f>
        <v>-45.367057024990693</v>
      </c>
      <c r="U309" s="2">
        <v>10.82</v>
      </c>
      <c r="V309" s="2">
        <v>92.1</v>
      </c>
      <c r="W309" s="3">
        <v>2.5920000000000001</v>
      </c>
      <c r="X309" s="3">
        <v>0.45400000000000001</v>
      </c>
      <c r="Z309" s="3">
        <v>1.5209999999999999</v>
      </c>
      <c r="AA309" s="3">
        <v>0.45400000000000001</v>
      </c>
      <c r="AC309" s="3">
        <v>48.68</v>
      </c>
      <c r="AD309" s="8">
        <v>15.5</v>
      </c>
      <c r="AE309" s="8">
        <v>9.81</v>
      </c>
      <c r="AF309" s="3">
        <v>1.81</v>
      </c>
      <c r="AG309" s="3">
        <v>7.7</v>
      </c>
      <c r="AH309" s="2" t="s">
        <v>161</v>
      </c>
      <c r="AI309" s="2" t="s">
        <v>162</v>
      </c>
      <c r="AJ309" s="3" t="s">
        <v>159</v>
      </c>
      <c r="AN309" s="1">
        <f t="shared" si="148"/>
        <v>-2203.9992000000002</v>
      </c>
      <c r="AO309" s="1">
        <f t="shared" si="149"/>
        <v>171.04089600000003</v>
      </c>
      <c r="AP309" s="1">
        <f t="shared" si="150"/>
        <v>100.36774799999999</v>
      </c>
      <c r="AQ309" s="1">
        <f t="shared" si="151"/>
        <v>29.958552000000005</v>
      </c>
      <c r="AS309" s="1">
        <f t="shared" si="152"/>
        <v>3299.4</v>
      </c>
      <c r="AU309" s="13"/>
      <c r="AV309" s="13"/>
    </row>
    <row r="310" spans="1:48" x14ac:dyDescent="0.3">
      <c r="A310" s="5">
        <v>44964</v>
      </c>
      <c r="B310" s="12" t="s">
        <v>73</v>
      </c>
      <c r="C310" t="s">
        <v>148</v>
      </c>
      <c r="D310">
        <v>60152</v>
      </c>
      <c r="E310" t="s">
        <v>28</v>
      </c>
      <c r="F310" s="11">
        <v>40.670039000000003</v>
      </c>
      <c r="G310" s="11">
        <v>-79.015269000000004</v>
      </c>
      <c r="H310" t="s">
        <v>218</v>
      </c>
      <c r="J310" s="1">
        <v>5689</v>
      </c>
      <c r="K310" t="s">
        <v>227</v>
      </c>
      <c r="L310" s="2">
        <v>6.07</v>
      </c>
      <c r="M310" s="2">
        <v>6.7</v>
      </c>
      <c r="N310" s="1">
        <v>467</v>
      </c>
      <c r="O310" s="1">
        <v>478</v>
      </c>
      <c r="Q310" s="4">
        <v>37</v>
      </c>
      <c r="R310" s="4">
        <v>42.6</v>
      </c>
      <c r="S310" s="4">
        <v>-25</v>
      </c>
      <c r="T310" s="4" cm="1">
        <f t="array" ref="T310">_xlfn.IFS(L310&lt;=5,IF(ISNUMBER(X310)=TRUE,X310*1.79+AA310*1.8+Z310*5.56+50000*(10^-L310)-Q310,1.79+AA310*1.8+Z310*5.56+50000*(10^-L310)-Q310),L310&gt;5,IF(ISNUMBER(X310)=TRUE,X310*1.79+AA310*1.8+50000*(10^-L310)-Q310,AA310*1.8+50000*(10^-L310)-Q310))</f>
        <v>-34.490553098089883</v>
      </c>
      <c r="W310" s="3">
        <v>3.4289999999999998</v>
      </c>
      <c r="X310" s="3">
        <v>0.81100000000000005</v>
      </c>
      <c r="Z310" s="3">
        <v>2.2349999999999999</v>
      </c>
      <c r="AA310" s="3">
        <v>0.56399999999999995</v>
      </c>
      <c r="AB310" s="4">
        <v>184.56</v>
      </c>
      <c r="AC310" s="3">
        <v>55.34</v>
      </c>
      <c r="AD310" s="8">
        <v>18.45</v>
      </c>
      <c r="AE310" s="8">
        <v>10.210000000000001</v>
      </c>
      <c r="AF310" s="3">
        <v>1.68</v>
      </c>
      <c r="AG310" s="3">
        <v>7.6</v>
      </c>
      <c r="AH310" s="2" t="s">
        <v>161</v>
      </c>
      <c r="AI310" s="2">
        <v>4.3999999999999997E-2</v>
      </c>
      <c r="AJ310" s="3" t="s">
        <v>159</v>
      </c>
      <c r="AN310" s="1">
        <f t="shared" si="148"/>
        <v>-1706.7</v>
      </c>
      <c r="AO310" s="1">
        <f t="shared" si="149"/>
        <v>234.09097199999999</v>
      </c>
      <c r="AP310" s="1">
        <f t="shared" si="150"/>
        <v>152.57898</v>
      </c>
      <c r="AQ310" s="1">
        <f t="shared" si="151"/>
        <v>38.503151999999993</v>
      </c>
      <c r="AR310" s="1">
        <f t="shared" ref="AR310:AR315" si="153">AB310*J310*0.012</f>
        <v>12599.542080000001</v>
      </c>
      <c r="AS310" s="1">
        <f t="shared" si="152"/>
        <v>2908.2168000000001</v>
      </c>
      <c r="AU310" s="13"/>
      <c r="AV310" s="13"/>
    </row>
    <row r="311" spans="1:48" x14ac:dyDescent="0.3">
      <c r="A311" s="5">
        <v>45022</v>
      </c>
      <c r="B311" s="12" t="s">
        <v>46</v>
      </c>
      <c r="C311" t="s">
        <v>148</v>
      </c>
      <c r="D311">
        <v>60152</v>
      </c>
      <c r="E311" t="s">
        <v>28</v>
      </c>
      <c r="F311" s="11">
        <v>40.670039000000003</v>
      </c>
      <c r="G311" s="11">
        <v>-79.015269000000004</v>
      </c>
      <c r="H311" t="s">
        <v>218</v>
      </c>
      <c r="J311" s="1">
        <v>8082</v>
      </c>
      <c r="K311" t="s">
        <v>96</v>
      </c>
      <c r="L311" s="2">
        <v>6.85</v>
      </c>
      <c r="M311" s="2">
        <v>6.3</v>
      </c>
      <c r="N311" s="1">
        <v>372</v>
      </c>
      <c r="O311" s="1">
        <v>405</v>
      </c>
      <c r="P311" s="3">
        <v>11.2</v>
      </c>
      <c r="R311" s="4">
        <v>40.4</v>
      </c>
      <c r="S311" s="4">
        <v>-26</v>
      </c>
      <c r="T311" s="4" cm="1">
        <f t="array" ref="T311">_xlfn.IFS(L311&lt;=5,IF(ISNUMBER(X311)=TRUE,X311*1.79+AA311*1.8+Z311*5.56+50000*(10^-L311)-R311,1.79+AA311*1.8+Z311*5.56+50000*(10^-L311)-R311),L311&gt;5,IF(ISNUMBER(X311)=TRUE,X311*1.79+AA311*1.8+50000*(10^-L311)-R311,AA311*1.8+50000*(10^-L311)-R311))</f>
        <v>-38.571547312276884</v>
      </c>
      <c r="W311" s="3">
        <v>3.1</v>
      </c>
      <c r="X311" s="3">
        <v>0.56100000000000005</v>
      </c>
      <c r="Z311" s="3">
        <v>1.76</v>
      </c>
      <c r="AA311" s="3">
        <v>0.45400000000000001</v>
      </c>
      <c r="AB311" s="4">
        <v>145.15</v>
      </c>
      <c r="AC311" s="3">
        <v>50</v>
      </c>
      <c r="AD311" s="8">
        <v>15.8</v>
      </c>
      <c r="AE311" s="8">
        <v>8.9</v>
      </c>
      <c r="AF311" s="3">
        <v>1.68</v>
      </c>
      <c r="AG311" s="3">
        <v>7</v>
      </c>
      <c r="AH311" s="2" t="s">
        <v>161</v>
      </c>
      <c r="AI311" s="2">
        <v>3.2000000000000001E-2</v>
      </c>
      <c r="AJ311" s="3" t="s">
        <v>159</v>
      </c>
      <c r="AN311" s="1">
        <f t="shared" si="148"/>
        <v>-2521.5839999999998</v>
      </c>
      <c r="AO311" s="1">
        <f t="shared" si="149"/>
        <v>300.65039999999999</v>
      </c>
      <c r="AP311" s="1">
        <f t="shared" si="150"/>
        <v>170.69184000000001</v>
      </c>
      <c r="AQ311" s="1">
        <f t="shared" si="151"/>
        <v>44.030736000000005</v>
      </c>
      <c r="AR311" s="1">
        <f t="shared" si="153"/>
        <v>14077.2276</v>
      </c>
      <c r="AS311" s="1">
        <f t="shared" si="152"/>
        <v>3918.1536000000001</v>
      </c>
      <c r="AU311" s="13"/>
      <c r="AV311" s="13"/>
    </row>
    <row r="312" spans="1:48" x14ac:dyDescent="0.3">
      <c r="A312" s="5">
        <v>45098</v>
      </c>
      <c r="B312" s="12" t="s">
        <v>150</v>
      </c>
      <c r="C312" t="s">
        <v>148</v>
      </c>
      <c r="D312">
        <v>60152</v>
      </c>
      <c r="E312" t="s">
        <v>28</v>
      </c>
      <c r="F312" s="11">
        <v>40.670039000000003</v>
      </c>
      <c r="G312" s="11">
        <v>-79.015269000000004</v>
      </c>
      <c r="H312" t="s">
        <v>276</v>
      </c>
      <c r="J312" s="1">
        <v>966</v>
      </c>
      <c r="K312" t="s">
        <v>96</v>
      </c>
      <c r="L312" s="2">
        <v>7.26</v>
      </c>
      <c r="M312" s="2">
        <v>6.2</v>
      </c>
      <c r="N312" s="1">
        <v>682</v>
      </c>
      <c r="O312" s="1">
        <v>672</v>
      </c>
      <c r="R312" s="4">
        <v>30.2</v>
      </c>
      <c r="S312" s="4">
        <v>-16.399999999999999</v>
      </c>
      <c r="T312" s="4" cm="1">
        <f t="array" ref="T312">_xlfn.IFS(L312&lt;=5,IF(ISNUMBER(X312)=TRUE,X312*1.79+AA312*1.8+Z312*5.56+50000*(10^-L312)-R312,1.79+AA312*1.8+Z312*5.56+50000*(10^-L312)-R312),L312&gt;5,IF(ISNUMBER(X312)=TRUE,X312*1.79+AA312*1.8+50000*(10^-L312)-R312,AA312*1.8+50000*(10^-L312)-R312))</f>
        <v>-28.247152295630713</v>
      </c>
      <c r="W312" s="3">
        <v>2.1709999999999998</v>
      </c>
      <c r="X312" s="3">
        <v>0.11</v>
      </c>
      <c r="Z312" s="3">
        <v>1.6850000000000001</v>
      </c>
      <c r="AA312" s="3">
        <v>0.97399999999999998</v>
      </c>
      <c r="AB312" s="4">
        <v>302.56</v>
      </c>
      <c r="AC312" s="3">
        <v>82.01</v>
      </c>
      <c r="AD312" s="8">
        <v>26.75</v>
      </c>
      <c r="AE312" s="8">
        <v>16.53</v>
      </c>
      <c r="AF312" s="3">
        <v>2.39</v>
      </c>
      <c r="AG312" s="3">
        <v>30.4</v>
      </c>
      <c r="AH312" s="2">
        <v>0.05</v>
      </c>
      <c r="AI312" s="2">
        <v>0.03</v>
      </c>
      <c r="AJ312" s="3">
        <v>0.2</v>
      </c>
      <c r="AN312" s="1">
        <f t="shared" si="148"/>
        <v>-190.10879999999997</v>
      </c>
      <c r="AO312" s="1">
        <f t="shared" si="149"/>
        <v>25.166231999999997</v>
      </c>
      <c r="AP312" s="1">
        <f>Z312*J312*0.012</f>
        <v>19.532520000000002</v>
      </c>
      <c r="AQ312" s="1">
        <f t="shared" si="151"/>
        <v>11.290608000000001</v>
      </c>
      <c r="AR312" s="1">
        <f t="shared" si="153"/>
        <v>3507.2755200000001</v>
      </c>
      <c r="AS312" s="1">
        <f t="shared" si="152"/>
        <v>350.07839999999999</v>
      </c>
      <c r="AU312" s="13"/>
      <c r="AV312" s="13"/>
    </row>
    <row r="313" spans="1:48" x14ac:dyDescent="0.3">
      <c r="A313" s="5">
        <v>45169</v>
      </c>
      <c r="B313" s="12" t="s">
        <v>75</v>
      </c>
      <c r="C313" t="s">
        <v>148</v>
      </c>
      <c r="D313">
        <v>60152</v>
      </c>
      <c r="E313" t="s">
        <v>28</v>
      </c>
      <c r="F313" s="11">
        <v>40.670039000000003</v>
      </c>
      <c r="G313" s="11">
        <v>-79.015269000000004</v>
      </c>
      <c r="H313" t="s">
        <v>93</v>
      </c>
      <c r="J313" s="1">
        <f>9.54*449</f>
        <v>4283.46</v>
      </c>
      <c r="K313" t="s">
        <v>96</v>
      </c>
      <c r="L313" s="2">
        <v>6.77</v>
      </c>
      <c r="M313" s="2">
        <v>6.7</v>
      </c>
      <c r="N313" s="1">
        <v>492</v>
      </c>
      <c r="O313" s="6">
        <v>514</v>
      </c>
      <c r="P313" s="3">
        <v>15.8</v>
      </c>
      <c r="Q313" s="4">
        <v>35</v>
      </c>
      <c r="R313" s="4">
        <v>43.6</v>
      </c>
      <c r="S313" s="4">
        <v>-31.8</v>
      </c>
      <c r="T313" s="4" cm="1">
        <f t="array" ref="T313">_xlfn.IFS(L313&lt;=5,IF(ISNUMBER(X313)=TRUE,X313*1.79+AA313*1.8+Z313*5.56+50000*(10^-L313)-Q313,1.79+AA313*1.8+Z313*5.56+50000*(10^-L313)-Q313),L313&gt;5,IF(ISNUMBER(X313)=TRUE,X313*1.79+AA313*1.8+50000*(10^-L313)-Q313,AA313*1.8+50000*(10^-L313)-Q313))</f>
        <v>-32.913438781737689</v>
      </c>
      <c r="W313" s="3">
        <v>3.61</v>
      </c>
      <c r="X313" s="3">
        <v>0.27300000000000002</v>
      </c>
      <c r="Z313" s="3">
        <v>2.86</v>
      </c>
      <c r="AA313" s="3">
        <v>0.88300000000000001</v>
      </c>
      <c r="AB313" s="4">
        <v>205.47</v>
      </c>
      <c r="AC313" s="6">
        <v>61.5</v>
      </c>
      <c r="AD313" s="6">
        <v>20.100000000000001</v>
      </c>
      <c r="AE313" s="6">
        <v>11.9</v>
      </c>
      <c r="AF313" s="6">
        <v>2.0299999999999998</v>
      </c>
      <c r="AG313" s="6">
        <v>5.9</v>
      </c>
      <c r="AH313" s="2">
        <v>0.05</v>
      </c>
      <c r="AI313" s="2">
        <v>0.03</v>
      </c>
      <c r="AJ313" s="3">
        <v>0.2</v>
      </c>
      <c r="AN313" s="1">
        <f>S313*J313*0.012</f>
        <v>-1634.5683359999998</v>
      </c>
      <c r="AO313" s="1">
        <f>W313*J313*0.012</f>
        <v>185.55948720000001</v>
      </c>
      <c r="AP313" s="1">
        <f t="shared" si="150"/>
        <v>147.0083472</v>
      </c>
      <c r="AQ313" s="1">
        <f t="shared" si="151"/>
        <v>45.387542160000002</v>
      </c>
      <c r="AR313" s="1">
        <f t="shared" si="153"/>
        <v>10561.4703144</v>
      </c>
      <c r="AS313" s="1">
        <f t="shared" si="152"/>
        <v>2241.106272</v>
      </c>
      <c r="AU313" s="13"/>
      <c r="AV313" s="13"/>
    </row>
    <row r="314" spans="1:48" x14ac:dyDescent="0.3">
      <c r="A314" s="5">
        <v>45366</v>
      </c>
      <c r="C314" t="s">
        <v>148</v>
      </c>
      <c r="D314">
        <v>60152</v>
      </c>
      <c r="E314" t="s">
        <v>28</v>
      </c>
      <c r="F314" s="11">
        <v>40.670039000000003</v>
      </c>
      <c r="G314" s="11">
        <v>-79.015269000000004</v>
      </c>
      <c r="H314" t="s">
        <v>218</v>
      </c>
      <c r="J314" s="1">
        <f>J575+J591+J609</f>
        <v>12328.21</v>
      </c>
      <c r="K314" t="s">
        <v>96</v>
      </c>
      <c r="M314" s="2">
        <v>6.5</v>
      </c>
      <c r="O314" s="6"/>
      <c r="R314" s="4">
        <v>48</v>
      </c>
      <c r="S314" s="4">
        <v>-22.8</v>
      </c>
      <c r="T314" s="4" cm="1">
        <f t="array" ref="T314">_xlfn.IFS(M314&lt;=5,IF(ISNUMBER(X314)=TRUE,X314*1.79+AA314*1.8+Z314*5.56+50000*(10^-M314)-R314,1.79+AA314*1.8+Z314*5.56+50000*(10^-M314)-R314),M314&gt;5,IF(ISNUMBER(X314)=TRUE,X314*1.79+AA314*1.8+50000*(10^-M314)-R314,AA314*1.8+50000*(10^-M314)-R314))</f>
        <v>-46.518338611699157</v>
      </c>
      <c r="W314" s="3">
        <v>2.3620000000000001</v>
      </c>
      <c r="X314" s="3">
        <v>0.47499999999999998</v>
      </c>
      <c r="Z314" s="3">
        <v>1.736</v>
      </c>
      <c r="AA314" s="3">
        <v>0.34200000000000003</v>
      </c>
      <c r="AB314" s="4">
        <v>121.9</v>
      </c>
      <c r="AC314" s="6"/>
      <c r="AD314" s="6"/>
      <c r="AE314" s="6"/>
      <c r="AF314" s="6"/>
      <c r="AG314" s="6"/>
      <c r="AK314" s="4">
        <v>25</v>
      </c>
      <c r="AL314" s="4">
        <v>212</v>
      </c>
      <c r="AN314" s="1">
        <f>S314*J314*0.012</f>
        <v>-3372.9982559999999</v>
      </c>
      <c r="AO314" s="1">
        <f>W314*J314*0.012</f>
        <v>349.43078423999998</v>
      </c>
      <c r="AP314" s="1">
        <f t="shared" ref="AP314" si="154">Z314*J314*0.012</f>
        <v>256.82127071999997</v>
      </c>
      <c r="AQ314" s="1">
        <f t="shared" ref="AQ314" si="155">AA314*J314*0.012</f>
        <v>50.594973839999994</v>
      </c>
      <c r="AR314" s="1">
        <f t="shared" si="153"/>
        <v>18033.705588000001</v>
      </c>
      <c r="AS314" s="1">
        <f t="shared" si="152"/>
        <v>7101.0489600000001</v>
      </c>
      <c r="AU314" s="13"/>
      <c r="AV314" s="13"/>
    </row>
    <row r="315" spans="1:48" x14ac:dyDescent="0.3">
      <c r="A315" s="5">
        <v>45527</v>
      </c>
      <c r="B315" s="12" t="s">
        <v>48</v>
      </c>
      <c r="C315" t="s">
        <v>148</v>
      </c>
      <c r="D315">
        <v>60152</v>
      </c>
      <c r="E315" t="s">
        <v>28</v>
      </c>
      <c r="F315" s="11">
        <v>40.670039000000003</v>
      </c>
      <c r="G315" s="11">
        <v>-79.015269000000004</v>
      </c>
      <c r="H315" t="s">
        <v>218</v>
      </c>
      <c r="J315" s="1">
        <v>2486</v>
      </c>
      <c r="K315" t="s">
        <v>96</v>
      </c>
      <c r="L315" s="2">
        <v>7.16</v>
      </c>
      <c r="M315" s="2">
        <v>6.4</v>
      </c>
      <c r="N315" s="1">
        <v>556</v>
      </c>
      <c r="O315" s="6"/>
      <c r="R315" s="4">
        <v>42.2</v>
      </c>
      <c r="S315" s="4">
        <v>-22.6</v>
      </c>
      <c r="T315" s="4" cm="1">
        <f t="array" ref="T315">_xlfn.IFS(M315&lt;=5,IF(ISNUMBER(X315)=TRUE,X315*1.79+AA315*1.8+Z315*5.56+50000*(10^-M315)-R315,1.79+AA315*1.8+Z315*5.56+50000*(10^-M315)-R315),M315&gt;5,IF(ISNUMBER(X315)=TRUE,X315*1.79+AA315*1.8+50000*(10^-M315)-R315,AA315*1.8+50000*(10^-M315)-R315))</f>
        <v>-40.232204641472329</v>
      </c>
      <c r="W315" s="3">
        <v>3.41</v>
      </c>
      <c r="X315" s="3">
        <v>0.33100000000000002</v>
      </c>
      <c r="Z315" s="3">
        <v>3.468</v>
      </c>
      <c r="AA315" s="3">
        <v>0.753</v>
      </c>
      <c r="AB315" s="4">
        <v>267.60000000000002</v>
      </c>
      <c r="AC315" s="6"/>
      <c r="AD315" s="6"/>
      <c r="AE315" s="6"/>
      <c r="AF315" s="6"/>
      <c r="AG315" s="6"/>
      <c r="AK315" s="4">
        <v>21</v>
      </c>
      <c r="AL315" s="4">
        <v>404</v>
      </c>
      <c r="AN315" s="1">
        <f>S315*J315*0.012</f>
        <v>-674.20320000000004</v>
      </c>
      <c r="AO315" s="1">
        <f>W315*J315*0.012</f>
        <v>101.72712</v>
      </c>
      <c r="AP315" s="1">
        <f t="shared" ref="AP315" si="156">Z315*J315*0.012</f>
        <v>103.45737600000001</v>
      </c>
      <c r="AQ315" s="1">
        <f>AA315*J315*0.012</f>
        <v>22.463496000000003</v>
      </c>
      <c r="AR315" s="1">
        <f t="shared" si="153"/>
        <v>7983.043200000001</v>
      </c>
      <c r="AS315" s="1">
        <f t="shared" ref="AS315" si="157">0.012*R315*J315</f>
        <v>1258.9104000000002</v>
      </c>
      <c r="AU315" s="13"/>
      <c r="AV315" s="13"/>
    </row>
    <row r="316" spans="1:48" s="7" customFormat="1" x14ac:dyDescent="0.3">
      <c r="A316" s="45" t="s">
        <v>144</v>
      </c>
      <c r="B316" s="46"/>
      <c r="F316" s="47"/>
      <c r="G316" s="47"/>
      <c r="I316" s="15"/>
      <c r="J316" s="20">
        <f>AVERAGE(J308:J315)</f>
        <v>5115.4587499999998</v>
      </c>
      <c r="K316" s="20" t="e">
        <f t="shared" ref="K316:AS316" si="158">AVERAGE(K308:K315)</f>
        <v>#DIV/0!</v>
      </c>
      <c r="L316" s="20">
        <f t="shared" si="158"/>
        <v>6.8471428571428561</v>
      </c>
      <c r="M316" s="20">
        <f>AVERAGE(M308:M315)</f>
        <v>6.5500000000000007</v>
      </c>
      <c r="N316" s="20">
        <f t="shared" si="158"/>
        <v>525.51428571428573</v>
      </c>
      <c r="O316" s="20">
        <f t="shared" si="158"/>
        <v>533.5</v>
      </c>
      <c r="P316" s="20">
        <f t="shared" si="158"/>
        <v>11.225</v>
      </c>
      <c r="Q316" s="20">
        <f t="shared" si="158"/>
        <v>36.875</v>
      </c>
      <c r="R316" s="20">
        <f>AVERAGE(R308:R315)</f>
        <v>39.725000000000001</v>
      </c>
      <c r="S316" s="20">
        <f>AVERAGE(S308:S315)</f>
        <v>-21.975000000000001</v>
      </c>
      <c r="T316" s="20">
        <f t="shared" si="158"/>
        <v>-36.083649777664867</v>
      </c>
      <c r="U316" s="20">
        <f t="shared" si="158"/>
        <v>10.09</v>
      </c>
      <c r="V316" s="20">
        <f t="shared" si="158"/>
        <v>87.3</v>
      </c>
      <c r="W316" s="20">
        <f>AVERAGE(W308:W315)</f>
        <v>3.4238750000000002</v>
      </c>
      <c r="X316" s="20">
        <f>AVERAGE(X308:X315)</f>
        <v>0.63412499999999994</v>
      </c>
      <c r="Y316" s="20"/>
      <c r="Z316" s="20">
        <f>AVERAGE(Z308:Z315)</f>
        <v>2.4907499999999998</v>
      </c>
      <c r="AA316" s="20">
        <f>AVERAGE(AA308:AA315)</f>
        <v>0.72487499999999994</v>
      </c>
      <c r="AB316" s="20">
        <f>AVERAGE(AB308:AB315)</f>
        <v>225.77857142857147</v>
      </c>
      <c r="AC316" s="20">
        <f t="shared" si="158"/>
        <v>63.843333333333334</v>
      </c>
      <c r="AD316" s="20">
        <f t="shared" si="158"/>
        <v>21.128333333333334</v>
      </c>
      <c r="AE316" s="20">
        <f t="shared" si="158"/>
        <v>12.790000000000001</v>
      </c>
      <c r="AF316" s="20">
        <f t="shared" si="158"/>
        <v>2.0049999999999999</v>
      </c>
      <c r="AG316" s="20">
        <f t="shared" si="158"/>
        <v>11.25</v>
      </c>
      <c r="AH316" s="20">
        <f t="shared" si="158"/>
        <v>5.4333333333333338E-2</v>
      </c>
      <c r="AI316" s="20">
        <f t="shared" si="158"/>
        <v>5.16E-2</v>
      </c>
      <c r="AJ316" s="20">
        <f t="shared" si="158"/>
        <v>0.2</v>
      </c>
      <c r="AK316" s="20">
        <f>AVERAGE(AK308:AK315)</f>
        <v>23</v>
      </c>
      <c r="AL316" s="20">
        <f>AVERAGE(AL308:AL315)</f>
        <v>308</v>
      </c>
      <c r="AM316" s="20"/>
      <c r="AN316" s="20">
        <f t="shared" si="158"/>
        <v>-1532.773224</v>
      </c>
      <c r="AO316" s="20">
        <f t="shared" si="158"/>
        <v>186.97828142999998</v>
      </c>
      <c r="AP316" s="20">
        <f t="shared" si="158"/>
        <v>129.92374523999999</v>
      </c>
      <c r="AQ316" s="20">
        <f t="shared" si="158"/>
        <v>33.558007500000002</v>
      </c>
      <c r="AR316" s="20">
        <f t="shared" si="158"/>
        <v>10500.21587177143</v>
      </c>
      <c r="AS316" s="20">
        <f t="shared" si="158"/>
        <v>2684.2223040000003</v>
      </c>
      <c r="AU316" s="48"/>
      <c r="AV316" s="48"/>
    </row>
    <row r="317" spans="1:48" x14ac:dyDescent="0.3">
      <c r="F317" s="11"/>
      <c r="G317" s="11"/>
      <c r="AD317" s="8"/>
      <c r="AE317" s="8"/>
      <c r="AU317" s="13"/>
      <c r="AV317" s="13"/>
    </row>
    <row r="318" spans="1:48" x14ac:dyDescent="0.3">
      <c r="A318" s="5">
        <v>37406</v>
      </c>
      <c r="C318" t="s">
        <v>189</v>
      </c>
      <c r="E318" t="s">
        <v>26</v>
      </c>
      <c r="F318" s="11"/>
      <c r="G318" s="11"/>
      <c r="H318" t="s">
        <v>177</v>
      </c>
      <c r="M318" s="2">
        <v>7.14</v>
      </c>
      <c r="R318" s="4">
        <v>34.700000000000003</v>
      </c>
      <c r="W318" s="3">
        <v>2.58</v>
      </c>
      <c r="Z318" s="3">
        <v>1.78</v>
      </c>
      <c r="AA318" s="3">
        <v>0.25</v>
      </c>
      <c r="AB318" s="4">
        <v>104.9</v>
      </c>
      <c r="AD318" s="8"/>
      <c r="AE318" s="8"/>
    </row>
    <row r="319" spans="1:48" x14ac:dyDescent="0.3">
      <c r="A319" s="5">
        <v>37435</v>
      </c>
      <c r="C319" t="s">
        <v>189</v>
      </c>
      <c r="E319" t="s">
        <v>26</v>
      </c>
      <c r="H319" t="s">
        <v>177</v>
      </c>
      <c r="M319" s="2">
        <v>7.31</v>
      </c>
      <c r="R319" s="4">
        <v>82.8</v>
      </c>
      <c r="W319" s="3">
        <v>1.45</v>
      </c>
      <c r="Z319" s="3">
        <v>0.54</v>
      </c>
      <c r="AA319" s="3">
        <v>0.3</v>
      </c>
      <c r="AB319" s="4">
        <v>165.4</v>
      </c>
    </row>
    <row r="320" spans="1:48" x14ac:dyDescent="0.3">
      <c r="A320" s="5">
        <v>37463</v>
      </c>
      <c r="C320" t="s">
        <v>189</v>
      </c>
      <c r="E320" t="s">
        <v>26</v>
      </c>
      <c r="F320" s="11"/>
      <c r="G320" s="11"/>
      <c r="H320" t="s">
        <v>177</v>
      </c>
      <c r="M320" s="2">
        <v>8.1</v>
      </c>
      <c r="R320" s="4">
        <v>116.8</v>
      </c>
      <c r="W320" s="3">
        <v>0.24</v>
      </c>
      <c r="Z320" s="3">
        <v>1.66</v>
      </c>
      <c r="AA320" s="3">
        <v>0.25</v>
      </c>
      <c r="AB320" s="4">
        <v>181.4</v>
      </c>
      <c r="AD320" s="8"/>
      <c r="AE320" s="8"/>
      <c r="AU320" s="13"/>
      <c r="AV320" s="13"/>
    </row>
    <row r="321" spans="1:48" x14ac:dyDescent="0.3">
      <c r="A321" s="5">
        <v>37508</v>
      </c>
      <c r="C321" t="s">
        <v>189</v>
      </c>
      <c r="E321" t="s">
        <v>26</v>
      </c>
      <c r="F321" s="11"/>
      <c r="G321" s="11"/>
      <c r="H321" t="s">
        <v>177</v>
      </c>
      <c r="M321" s="2">
        <v>8</v>
      </c>
      <c r="R321" s="4">
        <v>175.6</v>
      </c>
      <c r="W321" s="3">
        <v>0.28000000000000003</v>
      </c>
      <c r="Z321" s="3">
        <v>0.88</v>
      </c>
      <c r="AA321" s="3">
        <v>0.26</v>
      </c>
      <c r="AB321" s="4">
        <v>235.3</v>
      </c>
      <c r="AD321" s="8"/>
      <c r="AE321" s="8"/>
    </row>
    <row r="322" spans="1:48" x14ac:dyDescent="0.3">
      <c r="A322" s="5">
        <v>37529</v>
      </c>
      <c r="C322" t="s">
        <v>189</v>
      </c>
      <c r="E322" t="s">
        <v>26</v>
      </c>
      <c r="H322" t="s">
        <v>177</v>
      </c>
      <c r="M322" s="2">
        <v>7.69</v>
      </c>
      <c r="R322" s="4">
        <v>76.2</v>
      </c>
      <c r="W322" s="3">
        <v>0.31</v>
      </c>
      <c r="Z322" s="3" t="s">
        <v>185</v>
      </c>
      <c r="AA322" s="3">
        <v>0.46</v>
      </c>
      <c r="AB322" s="4">
        <v>187.7</v>
      </c>
    </row>
    <row r="323" spans="1:48" x14ac:dyDescent="0.3">
      <c r="A323" s="5">
        <v>37559</v>
      </c>
      <c r="C323" t="s">
        <v>189</v>
      </c>
      <c r="E323" t="s">
        <v>26</v>
      </c>
      <c r="F323" s="11"/>
      <c r="G323" s="11"/>
      <c r="H323" t="s">
        <v>177</v>
      </c>
      <c r="M323" s="2">
        <v>7.27</v>
      </c>
      <c r="R323" s="4">
        <v>81.599999999999994</v>
      </c>
      <c r="W323" s="3">
        <v>1.65</v>
      </c>
      <c r="Z323" s="3">
        <v>0.61</v>
      </c>
      <c r="AA323" s="3">
        <v>0.4</v>
      </c>
      <c r="AB323" s="4">
        <v>141</v>
      </c>
      <c r="AD323" s="8"/>
      <c r="AE323" s="8"/>
      <c r="AU323" s="13"/>
      <c r="AV323" s="13"/>
    </row>
    <row r="324" spans="1:48" x14ac:dyDescent="0.3">
      <c r="A324" s="5">
        <v>37586</v>
      </c>
      <c r="C324" t="s">
        <v>189</v>
      </c>
      <c r="E324" t="s">
        <v>26</v>
      </c>
      <c r="F324" s="11"/>
      <c r="G324" s="11"/>
      <c r="H324" t="s">
        <v>177</v>
      </c>
      <c r="M324" s="2">
        <v>7.38</v>
      </c>
      <c r="R324" s="4">
        <v>56.1</v>
      </c>
      <c r="W324" s="3">
        <v>1.71</v>
      </c>
      <c r="Z324" s="3">
        <v>0.84</v>
      </c>
      <c r="AA324" s="3">
        <v>0.37</v>
      </c>
      <c r="AB324" s="4">
        <v>124.3</v>
      </c>
      <c r="AD324" s="8"/>
      <c r="AE324" s="8"/>
    </row>
    <row r="325" spans="1:48" x14ac:dyDescent="0.3">
      <c r="A325" s="5">
        <v>37613</v>
      </c>
      <c r="C325" t="s">
        <v>189</v>
      </c>
      <c r="E325" t="s">
        <v>26</v>
      </c>
      <c r="H325" t="s">
        <v>177</v>
      </c>
      <c r="M325" s="2">
        <v>6.88</v>
      </c>
      <c r="R325" s="4">
        <v>24.3</v>
      </c>
      <c r="W325" s="3">
        <v>0.8</v>
      </c>
      <c r="Z325" s="3">
        <v>0.48</v>
      </c>
      <c r="AA325" s="3">
        <v>0.2</v>
      </c>
      <c r="AB325" s="4">
        <v>62.3</v>
      </c>
    </row>
    <row r="326" spans="1:48" x14ac:dyDescent="0.3">
      <c r="A326" s="5">
        <v>37651</v>
      </c>
      <c r="C326" t="s">
        <v>189</v>
      </c>
      <c r="E326" t="s">
        <v>26</v>
      </c>
      <c r="F326" s="11"/>
      <c r="G326" s="11"/>
      <c r="H326" t="s">
        <v>177</v>
      </c>
      <c r="M326" s="2">
        <v>7.09</v>
      </c>
      <c r="R326" s="4">
        <v>76.5</v>
      </c>
      <c r="W326" s="3">
        <v>3.29</v>
      </c>
      <c r="Z326" s="3">
        <v>1.85</v>
      </c>
      <c r="AA326" s="3">
        <v>0.49</v>
      </c>
      <c r="AB326" s="4">
        <v>180.6</v>
      </c>
      <c r="AD326" s="8"/>
      <c r="AE326" s="8"/>
      <c r="AU326" s="13"/>
      <c r="AV326" s="13"/>
    </row>
    <row r="327" spans="1:48" x14ac:dyDescent="0.3">
      <c r="A327" s="5">
        <v>37684</v>
      </c>
      <c r="C327" t="s">
        <v>189</v>
      </c>
      <c r="E327" t="s">
        <v>26</v>
      </c>
      <c r="F327" s="11"/>
      <c r="G327" s="11"/>
      <c r="H327" t="s">
        <v>177</v>
      </c>
      <c r="M327" s="2">
        <v>6.29</v>
      </c>
      <c r="R327" s="4">
        <v>39.9</v>
      </c>
      <c r="W327" s="3">
        <v>1.73</v>
      </c>
      <c r="Z327" s="3">
        <v>1.03</v>
      </c>
      <c r="AA327" s="3">
        <v>0.31</v>
      </c>
      <c r="AB327" s="4">
        <v>102.8</v>
      </c>
      <c r="AD327" s="8"/>
      <c r="AE327" s="8"/>
    </row>
    <row r="328" spans="1:48" x14ac:dyDescent="0.3">
      <c r="A328" s="5">
        <v>37710</v>
      </c>
      <c r="C328" t="s">
        <v>189</v>
      </c>
      <c r="E328" t="s">
        <v>26</v>
      </c>
      <c r="H328" t="s">
        <v>177</v>
      </c>
      <c r="M328" s="2">
        <v>6.98</v>
      </c>
      <c r="R328" s="4">
        <v>43.2</v>
      </c>
      <c r="W328" s="3">
        <v>1.88</v>
      </c>
      <c r="Z328" s="3">
        <v>1.42</v>
      </c>
      <c r="AA328" s="3">
        <v>0.35</v>
      </c>
      <c r="AB328" s="4">
        <v>127.8</v>
      </c>
    </row>
    <row r="329" spans="1:48" x14ac:dyDescent="0.3">
      <c r="A329" s="5">
        <v>37741</v>
      </c>
      <c r="C329" t="s">
        <v>189</v>
      </c>
      <c r="E329" t="s">
        <v>26</v>
      </c>
      <c r="F329" s="11"/>
      <c r="G329" s="11"/>
      <c r="H329" t="s">
        <v>177</v>
      </c>
      <c r="M329" s="2">
        <v>7.65</v>
      </c>
      <c r="R329" s="4">
        <v>72</v>
      </c>
      <c r="W329" s="3">
        <v>1.18</v>
      </c>
      <c r="Z329" s="3">
        <v>0.41</v>
      </c>
      <c r="AA329" s="3">
        <v>0.42</v>
      </c>
      <c r="AB329" s="4">
        <v>152.5</v>
      </c>
      <c r="AD329" s="8"/>
      <c r="AE329" s="8"/>
      <c r="AU329" s="13"/>
      <c r="AV329" s="13"/>
    </row>
    <row r="330" spans="1:48" x14ac:dyDescent="0.3">
      <c r="A330" s="5">
        <v>44845</v>
      </c>
      <c r="B330" s="12" t="s">
        <v>24</v>
      </c>
      <c r="C330" t="s">
        <v>25</v>
      </c>
      <c r="E330" t="s">
        <v>26</v>
      </c>
      <c r="F330" s="11">
        <v>40.658344</v>
      </c>
      <c r="G330" s="11">
        <v>-79.024439000000001</v>
      </c>
      <c r="H330" t="s">
        <v>90</v>
      </c>
      <c r="I330" s="2">
        <v>2</v>
      </c>
      <c r="J330" s="1">
        <v>8642</v>
      </c>
      <c r="K330" t="s">
        <v>96</v>
      </c>
      <c r="L330" s="2">
        <v>7.55</v>
      </c>
      <c r="M330" s="2">
        <v>7.4</v>
      </c>
      <c r="N330" s="1">
        <v>473</v>
      </c>
      <c r="O330" s="1">
        <v>471</v>
      </c>
      <c r="P330" s="3">
        <v>11.2</v>
      </c>
      <c r="Q330" s="4">
        <v>73</v>
      </c>
      <c r="R330" s="4">
        <v>72.400000000000006</v>
      </c>
      <c r="S330" s="4">
        <v>-61.8</v>
      </c>
      <c r="T330" s="4" cm="1">
        <f t="array" ref="T330">_xlfn.IFS(L330&lt;=5,IF(ISNUMBER(X330)=TRUE,X330*1.79+AA330*1.8+Z330*5.56+50000*(10^-L330)-Q330,1.79+AA330*1.8+Z330*5.56+50000*(10^-L330)-Q330),L330&gt;5,IF(ISNUMBER(X330)=TRUE,X330*1.79+AA330*1.8+50000*(10^-L330)-Q330,AA330*1.8+50000*(10^-L330)-Q330))</f>
        <v>-71.972690808534367</v>
      </c>
      <c r="U330" s="2">
        <v>10.199999999999999</v>
      </c>
      <c r="V330" s="2">
        <v>93</v>
      </c>
      <c r="W330" s="3">
        <v>1.534</v>
      </c>
      <c r="X330" s="3">
        <v>0.19</v>
      </c>
      <c r="Z330" s="3">
        <v>0.84799999999999998</v>
      </c>
      <c r="AA330" s="3">
        <v>0.38100000000000001</v>
      </c>
      <c r="AB330" s="4">
        <v>154.5</v>
      </c>
      <c r="AC330" s="3">
        <v>46.18</v>
      </c>
      <c r="AD330" s="8">
        <v>14.19</v>
      </c>
      <c r="AE330" s="8">
        <v>28.81</v>
      </c>
      <c r="AF330" s="3">
        <v>2.13</v>
      </c>
      <c r="AG330" s="3">
        <v>10.8</v>
      </c>
      <c r="AH330" s="2" t="s">
        <v>161</v>
      </c>
      <c r="AI330" s="2" t="s">
        <v>162</v>
      </c>
      <c r="AJ330" s="3" t="s">
        <v>159</v>
      </c>
      <c r="AN330" s="1">
        <f>S330*J330*0.012</f>
        <v>-6408.9071999999996</v>
      </c>
      <c r="AO330" s="1">
        <f>W330*J330*0.012</f>
        <v>159.08193599999998</v>
      </c>
      <c r="AP330" s="1">
        <f>Z330*J330*0.012</f>
        <v>87.940992000000008</v>
      </c>
      <c r="AQ330" s="1">
        <f>AA330*J330*0.012</f>
        <v>39.511223999999999</v>
      </c>
      <c r="AR330" s="1">
        <f>AB330*J330*0.012</f>
        <v>16022.268</v>
      </c>
      <c r="AS330" s="1">
        <f t="shared" si="152"/>
        <v>7508.1696000000011</v>
      </c>
      <c r="AU330" s="13" t="str">
        <f>CONCATENATE(TEXT(ROUNDDOWN(ABS(F330),0),"00"),"° ",TEXT(ROUNDDOWN(ABS((F330-ROUNDDOWN(F330,0))*60),0),"00"),"' ",TEXT(TRUNC((ABS((F330-ROUNDDOWN(F330,0))*60)-ROUNDDOWN(ABS((F330-ROUNDDOWN(F330,0))*60),0))*60,2),"00.00"),"""",IF(F330&lt;0," S"," N"))</f>
        <v>40° 39' 30.03" N</v>
      </c>
      <c r="AV330" s="13" t="str">
        <f>CONCATENATE(TEXT(ROUNDDOWN(ABS(G330),0),"000"),"° ",TEXT(ROUNDDOWN(ABS((G330-ROUNDDOWN(G330,0))*60),0),"00"),"' ",TEXT(TRUNC((ABS((G330-ROUNDDOWN(G330,0))*60)-ROUNDDOWN(ABS((G330-ROUNDDOWN(G330,0))*60),0))*60,2),"00.00"),"""",IF(G330&lt;0," W"," E"))</f>
        <v>079° 01' 27.98" W</v>
      </c>
    </row>
    <row r="331" spans="1:48" x14ac:dyDescent="0.3">
      <c r="A331" s="5">
        <v>44903</v>
      </c>
      <c r="B331" s="12" t="s">
        <v>24</v>
      </c>
      <c r="C331" t="s">
        <v>25</v>
      </c>
      <c r="E331" t="s">
        <v>26</v>
      </c>
      <c r="F331" s="11">
        <v>40.658344</v>
      </c>
      <c r="G331" s="11">
        <v>-79.024439000000001</v>
      </c>
      <c r="H331" t="s">
        <v>90</v>
      </c>
      <c r="I331" s="2">
        <v>2</v>
      </c>
      <c r="J331" s="1">
        <v>31718</v>
      </c>
      <c r="K331" t="s">
        <v>96</v>
      </c>
      <c r="L331" s="2">
        <v>6.67</v>
      </c>
      <c r="M331" s="2">
        <v>7.2</v>
      </c>
      <c r="N331" s="1">
        <v>279.10000000000002</v>
      </c>
      <c r="O331" s="1">
        <v>288</v>
      </c>
      <c r="P331" s="3">
        <v>7.7</v>
      </c>
      <c r="Q331" s="4">
        <f>AVERAGE(44.2,47.2)</f>
        <v>45.7</v>
      </c>
      <c r="R331" s="4">
        <v>51.4</v>
      </c>
      <c r="S331" s="4">
        <v>-34.6</v>
      </c>
      <c r="T331" s="4" cm="1">
        <f t="array" ref="T331">_xlfn.IFS(L331&lt;=5,IF(ISNUMBER(X331)=TRUE,X331*1.79+AA331*1.8+Z331*5.56+50000*(10^-L331)-Q331,1.79+AA331*1.8+Z331*5.56+50000*(10^-L331)-Q331),L331&gt;5,IF(ISNUMBER(X331)=TRUE,X331*1.79+AA331*1.8+50000*(10^-L331)-Q331,AA331*1.8+50000*(10^-L331)-Q331))</f>
        <v>-45.064440189552492</v>
      </c>
      <c r="W331" s="3">
        <v>1.1299999999999999</v>
      </c>
      <c r="X331" s="3">
        <v>0.153</v>
      </c>
      <c r="Z331" s="3">
        <v>0.70299999999999996</v>
      </c>
      <c r="AA331" s="3">
        <v>0.19500000000000001</v>
      </c>
      <c r="AC331" s="3">
        <v>29.2</v>
      </c>
      <c r="AD331" s="8">
        <v>8.61</v>
      </c>
      <c r="AE331" s="8">
        <v>13.2</v>
      </c>
      <c r="AF331" s="3">
        <v>1.64</v>
      </c>
      <c r="AG331" s="3">
        <v>8.8000000000000007</v>
      </c>
      <c r="AH331" s="2" t="s">
        <v>161</v>
      </c>
      <c r="AI331" s="2" t="s">
        <v>162</v>
      </c>
      <c r="AJ331" s="3" t="s">
        <v>159</v>
      </c>
      <c r="AN331" s="1">
        <f>S331*J331*0.012</f>
        <v>-13169.313600000001</v>
      </c>
      <c r="AO331" s="1">
        <f>W331*J331*0.012</f>
        <v>430.09607999999997</v>
      </c>
      <c r="AP331" s="1">
        <f>Z331*J331*0.012</f>
        <v>267.57304799999997</v>
      </c>
      <c r="AQ331" s="1">
        <f>AA331*J331*0.012</f>
        <v>74.220120000000009</v>
      </c>
      <c r="AR331" s="1">
        <f>AB331*J331*0.012</f>
        <v>0</v>
      </c>
      <c r="AS331" s="1">
        <f t="shared" si="152"/>
        <v>19563.662400000001</v>
      </c>
      <c r="AU331" s="13"/>
      <c r="AV331" s="13"/>
    </row>
    <row r="332" spans="1:48" x14ac:dyDescent="0.3">
      <c r="A332" s="5">
        <v>44964</v>
      </c>
      <c r="B332" s="12" t="s">
        <v>24</v>
      </c>
      <c r="C332" t="s">
        <v>25</v>
      </c>
      <c r="E332" t="s">
        <v>26</v>
      </c>
      <c r="F332" s="11">
        <v>40.658344</v>
      </c>
      <c r="G332" s="11">
        <v>-79.024439000000001</v>
      </c>
      <c r="H332" t="s">
        <v>241</v>
      </c>
      <c r="J332" s="1" t="s">
        <v>219</v>
      </c>
      <c r="L332" s="2">
        <v>7.13</v>
      </c>
      <c r="M332" s="2">
        <v>6.7</v>
      </c>
      <c r="N332" s="1">
        <v>306</v>
      </c>
      <c r="O332" s="1">
        <v>338</v>
      </c>
      <c r="Q332" s="4">
        <v>48</v>
      </c>
      <c r="R332" s="4">
        <v>45</v>
      </c>
      <c r="S332" s="4">
        <v>-39.799999999999997</v>
      </c>
      <c r="T332" s="4" cm="1">
        <f t="array" ref="T332">_xlfn.IFS(L332&lt;=5,IF(ISNUMBER(X332)=TRUE,X332*1.79+AA332*1.8+Z332*5.56+50000*(10^-L332)-Q332,1.79+AA332*1.8+Z332*5.56+50000*(10^-L332)-Q332),L332&gt;5,IF(ISNUMBER(X332)=TRUE,X332*1.79+AA332*1.8+50000*(10^-L332)-Q332,AA332*1.8+50000*(10^-L332)-Q332))</f>
        <v>-47.168463448793496</v>
      </c>
      <c r="W332" s="3">
        <v>1.556</v>
      </c>
      <c r="X332" s="3">
        <v>0.19700000000000001</v>
      </c>
      <c r="Z332" s="3">
        <v>1.0529999999999999</v>
      </c>
      <c r="AA332" s="3">
        <v>0.26400000000000001</v>
      </c>
      <c r="AB332" s="4">
        <v>98.48</v>
      </c>
      <c r="AC332" s="3">
        <v>33.03</v>
      </c>
      <c r="AD332" s="8">
        <v>10.45</v>
      </c>
      <c r="AE332" s="8">
        <v>15.81</v>
      </c>
      <c r="AF332" s="3">
        <v>1.61</v>
      </c>
      <c r="AG332" s="3">
        <v>9.9</v>
      </c>
      <c r="AH332" s="2" t="s">
        <v>161</v>
      </c>
      <c r="AI332" s="2" t="s">
        <v>162</v>
      </c>
      <c r="AJ332" s="3" t="s">
        <v>159</v>
      </c>
      <c r="AU332" s="13"/>
      <c r="AV332" s="13"/>
    </row>
    <row r="333" spans="1:48" x14ac:dyDescent="0.3">
      <c r="A333" s="5">
        <v>45022</v>
      </c>
      <c r="B333" s="12" t="s">
        <v>70</v>
      </c>
      <c r="C333" t="s">
        <v>25</v>
      </c>
      <c r="E333" t="s">
        <v>26</v>
      </c>
      <c r="F333" s="11">
        <v>40.658344</v>
      </c>
      <c r="G333" s="11">
        <v>-79.024439000000001</v>
      </c>
      <c r="H333" t="s">
        <v>241</v>
      </c>
      <c r="J333" s="1" t="s">
        <v>219</v>
      </c>
      <c r="L333" s="2">
        <v>7.49</v>
      </c>
      <c r="M333" s="2">
        <v>6.8</v>
      </c>
      <c r="N333" s="1">
        <v>275</v>
      </c>
      <c r="O333" s="1">
        <v>296</v>
      </c>
      <c r="Q333" s="4">
        <v>41</v>
      </c>
      <c r="R333" s="4">
        <v>44.4</v>
      </c>
      <c r="S333" s="4">
        <v>-31.4</v>
      </c>
      <c r="T333" s="4" cm="1">
        <f t="array" ref="T333">_xlfn.IFS(L333&lt;=5,IF(ISNUMBER(X333)=TRUE,X333*1.79+AA333*1.8+Z333*5.56+50000*(10^-L333)-Q333,1.79+AA333*1.8+Z333*5.56+50000*(10^-L333)-Q333),L333&gt;5,IF(ISNUMBER(X333)=TRUE,X333*1.79+AA333*1.8+50000*(10^-L333)-Q333,AA333*1.8+50000*(10^-L333)-Q333))</f>
        <v>-40.391462031715349</v>
      </c>
      <c r="W333" s="3">
        <v>1.232</v>
      </c>
      <c r="X333" s="3">
        <v>0.14799999999999999</v>
      </c>
      <c r="Z333" s="3">
        <v>0.83899999999999997</v>
      </c>
      <c r="AA333" s="3">
        <v>0.19</v>
      </c>
      <c r="AB333" s="4">
        <v>86.12</v>
      </c>
      <c r="AC333" s="3">
        <v>27.28</v>
      </c>
      <c r="AD333" s="8">
        <v>8.84</v>
      </c>
      <c r="AE333" s="8">
        <v>12.46</v>
      </c>
      <c r="AF333" s="3">
        <v>1.6</v>
      </c>
      <c r="AG333" s="3">
        <v>9.1</v>
      </c>
      <c r="AH333" s="2" t="s">
        <v>161</v>
      </c>
      <c r="AI333" s="2" t="s">
        <v>162</v>
      </c>
      <c r="AJ333" s="3" t="s">
        <v>159</v>
      </c>
      <c r="AU333" s="13"/>
      <c r="AV333" s="13"/>
    </row>
    <row r="334" spans="1:48" x14ac:dyDescent="0.3">
      <c r="A334" s="5">
        <v>45098</v>
      </c>
      <c r="B334" s="12" t="s">
        <v>274</v>
      </c>
      <c r="C334" t="s">
        <v>25</v>
      </c>
      <c r="E334" t="s">
        <v>26</v>
      </c>
      <c r="F334" s="11">
        <v>40.658344</v>
      </c>
      <c r="G334" s="11">
        <v>-79.024439000000001</v>
      </c>
      <c r="H334" t="s">
        <v>241</v>
      </c>
      <c r="J334" s="1" t="s">
        <v>219</v>
      </c>
      <c r="L334" s="2">
        <v>8.1300000000000008</v>
      </c>
      <c r="M334" s="2">
        <v>7.4</v>
      </c>
      <c r="N334" s="1">
        <v>533</v>
      </c>
      <c r="O334" s="1">
        <v>511</v>
      </c>
      <c r="P334" s="3">
        <v>21.1</v>
      </c>
      <c r="Q334" s="4">
        <v>111</v>
      </c>
      <c r="R334" s="6">
        <v>99</v>
      </c>
      <c r="S334" s="40">
        <v>-80.400000000000006</v>
      </c>
      <c r="T334" s="4" cm="1">
        <f t="array" ref="T334">_xlfn.IFS(L334&lt;=5,IF(ISNUMBER(X334)=TRUE,X334*1.79+AA334*1.8+Z334*5.56+50000*(10^-L334)-Q334,1.79+AA334*1.8+Z334*5.56+50000*(10^-L334)-Q334),L334&gt;5,IF(ISNUMBER(X334)=TRUE,X334*1.79+AA334*1.8+50000*(10^-L334)-Q334,AA334*1.8+50000*(10^-L334)-Q334))</f>
        <v>-110.49793934487936</v>
      </c>
      <c r="U334" s="6"/>
      <c r="V334" s="6"/>
      <c r="W334" s="8">
        <v>0.46200000000000002</v>
      </c>
      <c r="X334" s="8">
        <v>5.0999999999999997E-2</v>
      </c>
      <c r="Y334" s="8"/>
      <c r="Z334" s="8">
        <v>0.30299999999999999</v>
      </c>
      <c r="AA334" s="8">
        <v>0.22800000000000001</v>
      </c>
      <c r="AB334" s="40">
        <v>149.44</v>
      </c>
      <c r="AC334" s="8">
        <v>50.27</v>
      </c>
      <c r="AD334" s="6">
        <v>14.45</v>
      </c>
      <c r="AE334" s="6">
        <v>37.700000000000003</v>
      </c>
      <c r="AF334" s="8">
        <v>2.16</v>
      </c>
      <c r="AG334" s="6">
        <v>11.4</v>
      </c>
      <c r="AH334" s="6">
        <v>0.05</v>
      </c>
      <c r="AI334" s="41">
        <v>0.03</v>
      </c>
      <c r="AJ334" s="6">
        <v>0.2</v>
      </c>
      <c r="AK334" s="6"/>
      <c r="AL334" s="6"/>
      <c r="AU334" s="13"/>
      <c r="AV334" s="13"/>
    </row>
    <row r="335" spans="1:48" x14ac:dyDescent="0.3">
      <c r="A335" s="5">
        <v>45169</v>
      </c>
      <c r="B335" s="12" t="s">
        <v>274</v>
      </c>
      <c r="C335" t="s">
        <v>25</v>
      </c>
      <c r="E335" t="s">
        <v>26</v>
      </c>
      <c r="F335" s="11">
        <v>40.658344</v>
      </c>
      <c r="G335" s="11">
        <v>-79.024439000000001</v>
      </c>
      <c r="H335" t="s">
        <v>241</v>
      </c>
      <c r="J335" s="1" t="s">
        <v>219</v>
      </c>
      <c r="L335" s="2">
        <v>7.8</v>
      </c>
      <c r="M335" s="2">
        <v>6.6</v>
      </c>
      <c r="N335" s="1">
        <v>370</v>
      </c>
      <c r="O335" s="1">
        <v>381</v>
      </c>
      <c r="P335" s="3">
        <v>16.899999999999999</v>
      </c>
      <c r="Q335" s="4">
        <v>60</v>
      </c>
      <c r="R335" s="6">
        <v>58.4</v>
      </c>
      <c r="S335" s="40">
        <v>-44.2</v>
      </c>
      <c r="T335" s="4">
        <v>-63</v>
      </c>
      <c r="U335" s="6"/>
      <c r="V335" s="6"/>
      <c r="W335" s="8">
        <v>0.20799999999999999</v>
      </c>
      <c r="X335" s="8">
        <v>0.05</v>
      </c>
      <c r="Y335" s="8"/>
      <c r="Z335" s="8">
        <v>1.35</v>
      </c>
      <c r="AA335" s="8">
        <v>0.34300000000000003</v>
      </c>
      <c r="AB335" s="40">
        <v>117.68</v>
      </c>
      <c r="AC335" s="6">
        <v>40.299999999999997</v>
      </c>
      <c r="AD335" s="6">
        <v>11.9</v>
      </c>
      <c r="AE335" s="6">
        <v>16.7</v>
      </c>
      <c r="AF335" s="6">
        <v>1.93</v>
      </c>
      <c r="AG335" s="8">
        <v>8</v>
      </c>
      <c r="AH335" s="6">
        <v>0.05</v>
      </c>
      <c r="AI335" s="41">
        <v>0.03</v>
      </c>
      <c r="AJ335" s="6">
        <v>0.2</v>
      </c>
      <c r="AK335" s="6"/>
      <c r="AL335" s="6"/>
      <c r="AU335" s="13"/>
      <c r="AV335" s="13"/>
    </row>
    <row r="336" spans="1:48" s="7" customFormat="1" x14ac:dyDescent="0.3">
      <c r="A336" s="45" t="s">
        <v>144</v>
      </c>
      <c r="B336" s="46"/>
      <c r="F336" s="47"/>
      <c r="G336" s="47"/>
      <c r="I336" s="15"/>
      <c r="J336" s="15">
        <f>AVERAGE(J330:J335)</f>
        <v>20180</v>
      </c>
      <c r="L336" s="15">
        <f>AVERAGE(L330:L335)</f>
        <v>7.461666666666666</v>
      </c>
      <c r="M336" s="15">
        <f>AVERAGE(M330:M334)</f>
        <v>7.1</v>
      </c>
      <c r="N336" s="20">
        <f t="shared" ref="N336:S336" si="159">AVERAGE(N330:N335)</f>
        <v>372.68333333333334</v>
      </c>
      <c r="O336" s="20">
        <f t="shared" si="159"/>
        <v>380.83333333333331</v>
      </c>
      <c r="P336" s="32">
        <f t="shared" si="159"/>
        <v>14.225</v>
      </c>
      <c r="Q336" s="19">
        <f t="shared" si="159"/>
        <v>63.116666666666667</v>
      </c>
      <c r="R336" s="19">
        <f t="shared" si="159"/>
        <v>61.766666666666673</v>
      </c>
      <c r="S336" s="19">
        <f t="shared" si="159"/>
        <v>-48.699999999999996</v>
      </c>
      <c r="T336" s="19">
        <f>AVERAGE(T330:T334)</f>
        <v>-63.018999164695018</v>
      </c>
      <c r="U336" s="15">
        <f>AVERAGE(U330:U334)</f>
        <v>10.199999999999999</v>
      </c>
      <c r="V336" s="15">
        <f>AVERAGE(V330:V334)</f>
        <v>93</v>
      </c>
      <c r="W336" s="32">
        <f>AVERAGE(W330:W335)</f>
        <v>1.0203333333333333</v>
      </c>
      <c r="X336" s="32">
        <f t="shared" ref="X336:AA336" si="160">AVERAGE(X330:X335)</f>
        <v>0.13150000000000003</v>
      </c>
      <c r="Y336" s="32"/>
      <c r="Z336" s="32">
        <f>AVERAGE(Z330:Z335)</f>
        <v>0.84933333333333338</v>
      </c>
      <c r="AA336" s="32">
        <f t="shared" si="160"/>
        <v>0.26683333333333331</v>
      </c>
      <c r="AB336" s="19">
        <f>AVERAGE(AB330:AB335)</f>
        <v>121.244</v>
      </c>
      <c r="AC336" s="32">
        <f>AVERAGE(AC330:AC335)</f>
        <v>37.71</v>
      </c>
      <c r="AD336" s="32">
        <f t="shared" ref="AD336:AG336" si="161">AVERAGE(AD330:AD335)</f>
        <v>11.406666666666668</v>
      </c>
      <c r="AE336" s="32">
        <f t="shared" si="161"/>
        <v>20.78</v>
      </c>
      <c r="AF336" s="32">
        <f t="shared" si="161"/>
        <v>1.845</v>
      </c>
      <c r="AG336" s="32">
        <f t="shared" si="161"/>
        <v>9.6666666666666661</v>
      </c>
      <c r="AH336" s="15">
        <f>AVERAGE(AH330:AH334)</f>
        <v>0.05</v>
      </c>
      <c r="AI336" s="15">
        <f>AVERAGE(AI330:AI334)</f>
        <v>0.03</v>
      </c>
      <c r="AJ336" s="32">
        <f>AVERAGE(AJ330:AJ334)</f>
        <v>0.2</v>
      </c>
      <c r="AK336" s="32"/>
      <c r="AL336" s="32"/>
      <c r="AM336" s="32"/>
      <c r="AN336" s="32">
        <f t="shared" ref="AN336:AS336" si="162">AVERAGE(AN330:AN334)</f>
        <v>-9789.1104000000014</v>
      </c>
      <c r="AO336" s="32">
        <f t="shared" si="162"/>
        <v>294.58900799999998</v>
      </c>
      <c r="AP336" s="32">
        <f t="shared" si="162"/>
        <v>177.75701999999998</v>
      </c>
      <c r="AQ336" s="32">
        <f t="shared" si="162"/>
        <v>56.865672000000004</v>
      </c>
      <c r="AR336" s="32">
        <f t="shared" si="162"/>
        <v>8011.134</v>
      </c>
      <c r="AS336" s="32">
        <f t="shared" si="162"/>
        <v>13535.916000000001</v>
      </c>
      <c r="AU336" s="48"/>
      <c r="AV336" s="48"/>
    </row>
    <row r="337" spans="1:49" x14ac:dyDescent="0.3">
      <c r="A337"/>
      <c r="B337" s="5"/>
      <c r="C337" s="12"/>
      <c r="G337" s="11"/>
      <c r="H337" s="11"/>
      <c r="I337"/>
      <c r="J337" s="2"/>
      <c r="K337" s="1"/>
      <c r="L337"/>
      <c r="N337" s="2"/>
      <c r="P337" s="1"/>
      <c r="Q337" s="3"/>
      <c r="U337" s="4"/>
      <c r="AB337" s="3"/>
      <c r="AC337" s="4"/>
      <c r="AE337" s="8"/>
      <c r="AF337" s="8"/>
      <c r="AH337" s="3"/>
      <c r="AJ337" s="2"/>
      <c r="AK337" s="2"/>
      <c r="AL337" s="2"/>
      <c r="AN337" s="3"/>
      <c r="AT337" s="1"/>
      <c r="AV337" s="13"/>
      <c r="AW337" s="13"/>
    </row>
    <row r="338" spans="1:49" x14ac:dyDescent="0.3">
      <c r="A338" s="5">
        <v>36549</v>
      </c>
      <c r="C338" t="s">
        <v>170</v>
      </c>
      <c r="E338" t="s">
        <v>23</v>
      </c>
      <c r="F338" s="11"/>
      <c r="G338" s="11"/>
      <c r="H338" t="s">
        <v>182</v>
      </c>
      <c r="M338" s="2">
        <v>3.2</v>
      </c>
      <c r="S338" s="4">
        <v>622</v>
      </c>
      <c r="W338" s="3">
        <v>87.7</v>
      </c>
      <c r="X338" s="3">
        <v>47.43</v>
      </c>
      <c r="Z338" s="3">
        <v>4.5199999999999996</v>
      </c>
      <c r="AA338" s="23">
        <v>75</v>
      </c>
      <c r="AB338" s="4">
        <v>828</v>
      </c>
      <c r="AD338" s="8"/>
      <c r="AE338" s="8"/>
      <c r="AU338" s="13"/>
      <c r="AV338" s="13"/>
    </row>
    <row r="339" spans="1:49" x14ac:dyDescent="0.3">
      <c r="A339" s="5">
        <v>36628</v>
      </c>
      <c r="C339" t="s">
        <v>170</v>
      </c>
      <c r="E339" t="s">
        <v>23</v>
      </c>
      <c r="F339" s="11"/>
      <c r="G339" s="11"/>
      <c r="H339" t="s">
        <v>182</v>
      </c>
      <c r="M339" s="2">
        <v>3.4</v>
      </c>
      <c r="S339" s="4">
        <v>382</v>
      </c>
      <c r="W339" s="3">
        <v>86.7</v>
      </c>
      <c r="X339" s="3">
        <v>62.62</v>
      </c>
      <c r="Z339" s="3">
        <v>1.68</v>
      </c>
      <c r="AA339" s="23">
        <v>40</v>
      </c>
      <c r="AB339" s="4">
        <v>263</v>
      </c>
      <c r="AD339" s="8"/>
      <c r="AE339" s="8"/>
      <c r="AU339" s="13"/>
      <c r="AV339" s="13"/>
    </row>
    <row r="340" spans="1:49" x14ac:dyDescent="0.3">
      <c r="A340" s="5">
        <v>36719</v>
      </c>
      <c r="C340" t="s">
        <v>170</v>
      </c>
      <c r="E340" t="s">
        <v>23</v>
      </c>
      <c r="F340" s="11"/>
      <c r="G340" s="11"/>
      <c r="H340" t="s">
        <v>182</v>
      </c>
      <c r="M340" s="2">
        <v>3</v>
      </c>
      <c r="S340" s="4">
        <v>932</v>
      </c>
      <c r="W340" s="3">
        <v>97.5</v>
      </c>
      <c r="X340" s="3">
        <v>1.5</v>
      </c>
      <c r="Z340" s="3">
        <v>6.27</v>
      </c>
      <c r="AA340" s="23">
        <v>109</v>
      </c>
      <c r="AB340" s="4">
        <v>691</v>
      </c>
      <c r="AD340" s="8"/>
      <c r="AE340" s="8"/>
      <c r="AU340" s="13"/>
      <c r="AV340" s="13"/>
    </row>
    <row r="341" spans="1:49" x14ac:dyDescent="0.3">
      <c r="A341" s="5">
        <v>36816</v>
      </c>
      <c r="C341" t="s">
        <v>170</v>
      </c>
      <c r="E341" t="s">
        <v>23</v>
      </c>
      <c r="F341" s="11"/>
      <c r="G341" s="11"/>
      <c r="H341" t="s">
        <v>182</v>
      </c>
      <c r="M341" s="2">
        <v>5.8</v>
      </c>
      <c r="S341" s="4">
        <v>8.1999999999999993</v>
      </c>
      <c r="W341" s="3">
        <v>0.68700000000000006</v>
      </c>
      <c r="X341" s="3">
        <v>0.41</v>
      </c>
      <c r="Z341" s="3">
        <v>0.89500000000000002</v>
      </c>
      <c r="AA341" s="23">
        <v>2.35</v>
      </c>
      <c r="AB341" s="4">
        <v>197</v>
      </c>
      <c r="AD341" s="8"/>
      <c r="AE341" s="8"/>
      <c r="AU341" s="13"/>
      <c r="AV341" s="13"/>
    </row>
    <row r="342" spans="1:49" x14ac:dyDescent="0.3">
      <c r="A342" s="5">
        <v>37371</v>
      </c>
      <c r="C342" t="s">
        <v>170</v>
      </c>
      <c r="E342" t="s">
        <v>23</v>
      </c>
      <c r="F342" s="11"/>
      <c r="G342" s="11"/>
      <c r="H342" t="s">
        <v>182</v>
      </c>
      <c r="M342" s="2">
        <v>3</v>
      </c>
      <c r="S342" s="4">
        <v>573.20000000000005</v>
      </c>
      <c r="W342" s="3">
        <v>96.7</v>
      </c>
      <c r="X342" s="3">
        <v>64.53</v>
      </c>
      <c r="Z342" s="3">
        <v>2.9</v>
      </c>
      <c r="AA342" s="23">
        <v>62</v>
      </c>
      <c r="AB342" s="4">
        <v>714</v>
      </c>
      <c r="AD342" s="8"/>
      <c r="AE342" s="8"/>
      <c r="AU342" s="13"/>
      <c r="AV342" s="13"/>
    </row>
    <row r="343" spans="1:49" x14ac:dyDescent="0.3">
      <c r="A343" s="5">
        <v>37457</v>
      </c>
      <c r="C343" t="s">
        <v>170</v>
      </c>
      <c r="E343" t="s">
        <v>23</v>
      </c>
      <c r="F343" s="11"/>
      <c r="G343" s="11"/>
      <c r="H343" t="s">
        <v>182</v>
      </c>
      <c r="M343" s="2">
        <v>2.9</v>
      </c>
      <c r="S343" s="4">
        <v>1492</v>
      </c>
      <c r="W343" s="3">
        <v>76.099999999999994</v>
      </c>
      <c r="X343" s="3">
        <v>4.2</v>
      </c>
      <c r="Z343" s="3">
        <v>12.9</v>
      </c>
      <c r="AA343" s="23">
        <v>219</v>
      </c>
      <c r="AB343" s="4">
        <v>2056</v>
      </c>
      <c r="AD343" s="8"/>
      <c r="AE343" s="8"/>
      <c r="AU343" s="13"/>
      <c r="AV343" s="13"/>
    </row>
    <row r="344" spans="1:49" x14ac:dyDescent="0.3">
      <c r="A344" s="5">
        <v>37508</v>
      </c>
      <c r="C344" t="s">
        <v>166</v>
      </c>
      <c r="E344" t="s">
        <v>23</v>
      </c>
      <c r="F344" s="11"/>
      <c r="G344" s="11"/>
      <c r="H344" t="s">
        <v>183</v>
      </c>
      <c r="J344" s="14">
        <v>39</v>
      </c>
      <c r="M344" s="2">
        <v>2.84</v>
      </c>
      <c r="S344" s="4">
        <v>2382</v>
      </c>
      <c r="T344" s="4" cm="1">
        <f t="array" ref="T344">_xlfn.IFS(M344&lt;=5,IF(ISNUMBER(X344)=TRUE,X344*1.79+AA344*1.8+Z344*5.56+50000*(10^-M344)-Q344,1.79+AA344*1.8+Z344*5.56+50000*(10^-M344)-Q344),M344&gt;5,IF(ISNUMBER(X344)=TRUE,X344*1.79+AA344*1.8+50000*(10^-M344)-Q344,AA344*1.8+50000*(10^-M344)-Q344))</f>
        <v>1844.9419885372963</v>
      </c>
      <c r="W344" s="3">
        <v>221</v>
      </c>
      <c r="Z344" s="3">
        <v>313</v>
      </c>
      <c r="AA344" s="3">
        <v>17</v>
      </c>
      <c r="AB344" s="4">
        <v>3052</v>
      </c>
      <c r="AD344" s="8"/>
      <c r="AE344" s="8"/>
      <c r="AN344" s="1">
        <f t="shared" ref="AN344:AN354" si="163">S344*J344*0.012</f>
        <v>1114.7760000000001</v>
      </c>
      <c r="AO344" s="1">
        <f t="shared" ref="AO344:AO354" si="164">W344*J344*0.012</f>
        <v>103.428</v>
      </c>
      <c r="AP344" s="1">
        <f t="shared" ref="AP344:AP354" si="165">Z344*J344*0.012</f>
        <v>146.48400000000001</v>
      </c>
      <c r="AQ344" s="1">
        <f t="shared" ref="AQ344:AQ354" si="166">AA344*J344*0.012</f>
        <v>7.9560000000000004</v>
      </c>
      <c r="AR344" s="1">
        <f t="shared" ref="AR344:AR354" si="167">AB344*J344*0.012</f>
        <v>1428.336</v>
      </c>
      <c r="AU344" s="13"/>
      <c r="AV344" s="13"/>
    </row>
    <row r="345" spans="1:49" x14ac:dyDescent="0.3">
      <c r="A345" s="5">
        <v>37529</v>
      </c>
      <c r="C345" t="s">
        <v>166</v>
      </c>
      <c r="E345" t="s">
        <v>23</v>
      </c>
      <c r="F345" s="11"/>
      <c r="G345" s="11"/>
      <c r="H345" t="s">
        <v>183</v>
      </c>
      <c r="J345" s="14">
        <v>9</v>
      </c>
      <c r="M345" s="2">
        <v>2.91</v>
      </c>
      <c r="S345" s="4">
        <v>1115</v>
      </c>
      <c r="T345" s="4" cm="1">
        <f t="array" ref="T345">_xlfn.IFS(M345&lt;=5,IF(ISNUMBER(X345)=TRUE,X345*1.79+AA345*1.8+Z345*5.56+50000*(10^-M345)-Q345,1.79+AA345*1.8+Z345*5.56+50000*(10^-M345)-Q345),M345&gt;5,IF(ISNUMBER(X345)=TRUE,X345*1.79+AA345*1.8+50000*(10^-M345)-Q345,AA345*1.8+50000*(10^-M345)-Q345))</f>
        <v>924.62343854061896</v>
      </c>
      <c r="W345" s="3">
        <v>106</v>
      </c>
      <c r="Z345" s="3">
        <v>152</v>
      </c>
      <c r="AA345" s="3">
        <v>9</v>
      </c>
      <c r="AB345" s="4">
        <v>1586</v>
      </c>
      <c r="AD345" s="8"/>
      <c r="AE345" s="8"/>
      <c r="AN345" s="1">
        <f t="shared" si="163"/>
        <v>120.42</v>
      </c>
      <c r="AO345" s="1">
        <f t="shared" si="164"/>
        <v>11.448</v>
      </c>
      <c r="AP345" s="1">
        <f t="shared" si="165"/>
        <v>16.416</v>
      </c>
      <c r="AQ345" s="1">
        <f t="shared" si="166"/>
        <v>0.97199999999999998</v>
      </c>
      <c r="AR345" s="1">
        <f t="shared" si="167"/>
        <v>171.28800000000001</v>
      </c>
      <c r="AU345" s="13"/>
      <c r="AV345" s="13"/>
    </row>
    <row r="346" spans="1:49" x14ac:dyDescent="0.3">
      <c r="A346" s="5">
        <v>37559</v>
      </c>
      <c r="C346" t="s">
        <v>166</v>
      </c>
      <c r="E346" t="s">
        <v>23</v>
      </c>
      <c r="F346" s="11"/>
      <c r="G346" s="11"/>
      <c r="H346" t="s">
        <v>183</v>
      </c>
      <c r="J346" s="14">
        <v>2133</v>
      </c>
      <c r="M346" s="2">
        <v>3.18</v>
      </c>
      <c r="S346" s="4">
        <v>359</v>
      </c>
      <c r="T346" s="4" cm="1">
        <f t="array" ref="T346">_xlfn.IFS(M346&lt;=5,IF(ISNUMBER(X346)=TRUE,X346*1.79+AA346*1.8+Z346*5.56+50000*(10^-M346)-Q346,1.79+AA346*1.8+Z346*5.56+50000*(10^-M346)-Q346),M346&gt;5,IF(ISNUMBER(X346)=TRUE,X346*1.79+AA346*1.8+50000*(10^-M346)-Q346,AA346*1.8+50000*(10^-M346)-Q346))</f>
        <v>312.6646724003798</v>
      </c>
      <c r="W346" s="3">
        <v>40</v>
      </c>
      <c r="Z346" s="3">
        <v>49</v>
      </c>
      <c r="AA346" s="3">
        <v>3</v>
      </c>
      <c r="AB346" s="4">
        <v>612</v>
      </c>
      <c r="AD346" s="8"/>
      <c r="AE346" s="8"/>
      <c r="AN346" s="1">
        <f t="shared" si="163"/>
        <v>9188.9639999999999</v>
      </c>
      <c r="AO346" s="1">
        <f t="shared" si="164"/>
        <v>1023.84</v>
      </c>
      <c r="AP346" s="1">
        <f t="shared" si="165"/>
        <v>1254.204</v>
      </c>
      <c r="AQ346" s="1">
        <f t="shared" si="166"/>
        <v>76.787999999999997</v>
      </c>
      <c r="AR346" s="1">
        <f t="shared" si="167"/>
        <v>15664.752</v>
      </c>
      <c r="AU346" s="13"/>
      <c r="AV346" s="13"/>
    </row>
    <row r="347" spans="1:49" x14ac:dyDescent="0.3">
      <c r="A347" s="5">
        <v>37565</v>
      </c>
      <c r="C347" t="s">
        <v>170</v>
      </c>
      <c r="E347" t="s">
        <v>23</v>
      </c>
      <c r="F347" s="11"/>
      <c r="G347" s="11"/>
      <c r="H347" t="s">
        <v>182</v>
      </c>
      <c r="J347" s="14"/>
      <c r="M347" s="2">
        <v>3</v>
      </c>
      <c r="S347" s="4">
        <v>528.79999999999995</v>
      </c>
      <c r="W347" s="3">
        <v>60.5</v>
      </c>
      <c r="X347" s="3">
        <v>22.46</v>
      </c>
      <c r="Z347" s="3">
        <v>3.94</v>
      </c>
      <c r="AA347" s="23">
        <v>67.7</v>
      </c>
      <c r="AB347" s="4">
        <v>736.1</v>
      </c>
      <c r="AD347" s="8"/>
      <c r="AE347" s="8"/>
      <c r="AU347" s="13"/>
      <c r="AV347" s="13"/>
    </row>
    <row r="348" spans="1:49" x14ac:dyDescent="0.3">
      <c r="A348" s="5">
        <v>37586</v>
      </c>
      <c r="C348" t="s">
        <v>166</v>
      </c>
      <c r="E348" t="s">
        <v>23</v>
      </c>
      <c r="F348" s="11"/>
      <c r="G348" s="11"/>
      <c r="H348" t="s">
        <v>183</v>
      </c>
      <c r="J348" s="14">
        <v>1166</v>
      </c>
      <c r="M348" s="2">
        <v>3.05</v>
      </c>
      <c r="S348" s="4">
        <v>451</v>
      </c>
      <c r="T348" s="4" cm="1">
        <f t="array" ref="T348">_xlfn.IFS(M348&lt;=5,IF(ISNUMBER(X348)=TRUE,X348*1.79+AA348*1.8+Z348*5.56+50000*(10^-M348)-Q348,1.79+AA348*1.8+Z348*5.56+50000*(10^-M348)-Q348),M348&gt;5,IF(ISNUMBER(X348)=TRUE,X348*1.79+AA348*1.8+50000*(10^-M348)-Q348,AA348*1.8+50000*(10^-M348)-Q348))</f>
        <v>346.43254690668726</v>
      </c>
      <c r="W348" s="3">
        <v>68</v>
      </c>
      <c r="Z348" s="3">
        <v>53</v>
      </c>
      <c r="AA348" s="3">
        <v>3</v>
      </c>
      <c r="AB348" s="4">
        <v>590</v>
      </c>
      <c r="AD348" s="8"/>
      <c r="AE348" s="8"/>
      <c r="AN348" s="1">
        <f t="shared" si="163"/>
        <v>6310.3919999999998</v>
      </c>
      <c r="AO348" s="1">
        <f t="shared" si="164"/>
        <v>951.45600000000002</v>
      </c>
      <c r="AP348" s="1">
        <f t="shared" si="165"/>
        <v>741.57600000000002</v>
      </c>
      <c r="AQ348" s="1">
        <f t="shared" si="166"/>
        <v>41.975999999999999</v>
      </c>
      <c r="AR348" s="1">
        <f t="shared" si="167"/>
        <v>8255.2800000000007</v>
      </c>
      <c r="AU348" s="13"/>
      <c r="AV348" s="13"/>
    </row>
    <row r="349" spans="1:49" x14ac:dyDescent="0.3">
      <c r="A349" s="5">
        <v>37613</v>
      </c>
      <c r="C349" t="s">
        <v>166</v>
      </c>
      <c r="E349" t="s">
        <v>23</v>
      </c>
      <c r="F349" s="11"/>
      <c r="G349" s="11"/>
      <c r="H349" t="s">
        <v>183</v>
      </c>
      <c r="J349" s="14">
        <v>3174</v>
      </c>
      <c r="M349" s="2">
        <v>4.22</v>
      </c>
      <c r="S349" s="4">
        <v>173</v>
      </c>
      <c r="T349" s="4" cm="1">
        <f t="array" ref="T349">_xlfn.IFS(M349&lt;=5,IF(ISNUMBER(X349)=TRUE,X349*1.79+AA349*1.8+Z349*5.56+50000*(10^-M349)-Q349,1.79+AA349*1.8+Z349*5.56+50000*(10^-M349)-Q349),M349&gt;5,IF(ISNUMBER(X349)=TRUE,X349*1.79+AA349*1.8+50000*(10^-M349)-Q349,AA349*1.8+50000*(10^-M349)-Q349))</f>
        <v>100.76279793037179</v>
      </c>
      <c r="W349" s="3">
        <v>35</v>
      </c>
      <c r="Z349" s="3">
        <v>17</v>
      </c>
      <c r="AA349" s="3">
        <v>0.8</v>
      </c>
      <c r="AB349" s="4">
        <v>239</v>
      </c>
      <c r="AD349" s="8"/>
      <c r="AE349" s="8"/>
      <c r="AN349" s="1">
        <f t="shared" si="163"/>
        <v>6589.2240000000002</v>
      </c>
      <c r="AO349" s="1">
        <f t="shared" si="164"/>
        <v>1333.08</v>
      </c>
      <c r="AP349" s="1">
        <f t="shared" si="165"/>
        <v>647.49599999999998</v>
      </c>
      <c r="AQ349" s="1">
        <f t="shared" si="166"/>
        <v>30.470400000000005</v>
      </c>
      <c r="AR349" s="1">
        <f t="shared" si="167"/>
        <v>9103.0320000000011</v>
      </c>
      <c r="AU349" s="13"/>
      <c r="AV349" s="13"/>
    </row>
    <row r="350" spans="1:49" x14ac:dyDescent="0.3">
      <c r="A350" s="5">
        <v>37651</v>
      </c>
      <c r="C350" t="s">
        <v>170</v>
      </c>
      <c r="E350" t="s">
        <v>23</v>
      </c>
      <c r="F350" s="11"/>
      <c r="G350" s="11"/>
      <c r="H350" t="s">
        <v>182</v>
      </c>
      <c r="J350" s="14"/>
      <c r="M350" s="2">
        <v>3</v>
      </c>
      <c r="S350" s="4">
        <v>1318.8</v>
      </c>
      <c r="W350" s="3">
        <v>223</v>
      </c>
      <c r="X350" s="3">
        <v>126.4</v>
      </c>
      <c r="Z350" s="3">
        <v>136</v>
      </c>
      <c r="AA350" s="22">
        <v>6.37</v>
      </c>
      <c r="AB350" s="4">
        <v>1744.8</v>
      </c>
      <c r="AD350" s="8"/>
      <c r="AE350" s="8"/>
      <c r="AU350" s="13"/>
      <c r="AV350" s="13"/>
    </row>
    <row r="351" spans="1:49" x14ac:dyDescent="0.3">
      <c r="A351" s="5">
        <v>37651</v>
      </c>
      <c r="C351" t="s">
        <v>166</v>
      </c>
      <c r="E351" t="s">
        <v>23</v>
      </c>
      <c r="F351" s="11"/>
      <c r="G351" s="11"/>
      <c r="H351" t="s">
        <v>183</v>
      </c>
      <c r="J351" s="14">
        <v>1190</v>
      </c>
      <c r="M351" s="2">
        <v>2.78</v>
      </c>
      <c r="S351" s="4">
        <v>1203</v>
      </c>
      <c r="T351" s="4" cm="1">
        <f t="array" ref="T351">_xlfn.IFS(M351&lt;=5,IF(ISNUMBER(X351)=TRUE,X351*1.79+AA351*1.8+Z351*5.56+50000*(10^-M351)-Q351,1.79+AA351*1.8+Z351*5.56+50000*(10^-M351)-Q351),M351&gt;5,IF(ISNUMBER(X351)=TRUE,X351*1.79+AA351*1.8+50000*(10^-M351)-Q351,AA351*1.8+50000*(10^-M351)-Q351))</f>
        <v>885.08934537187804</v>
      </c>
      <c r="W351" s="3">
        <v>177</v>
      </c>
      <c r="Z351" s="3">
        <v>142</v>
      </c>
      <c r="AA351" s="22">
        <v>6</v>
      </c>
      <c r="AB351" s="4">
        <v>1363</v>
      </c>
      <c r="AD351" s="8"/>
      <c r="AE351" s="8"/>
      <c r="AN351" s="1">
        <f t="shared" si="163"/>
        <v>17178.84</v>
      </c>
      <c r="AO351" s="1">
        <f t="shared" si="164"/>
        <v>2527.56</v>
      </c>
      <c r="AP351" s="1">
        <f t="shared" si="165"/>
        <v>2027.76</v>
      </c>
      <c r="AQ351" s="1">
        <f t="shared" si="166"/>
        <v>85.68</v>
      </c>
      <c r="AR351" s="1">
        <f t="shared" si="167"/>
        <v>19463.64</v>
      </c>
      <c r="AU351" s="13"/>
      <c r="AV351" s="13"/>
    </row>
    <row r="352" spans="1:49" x14ac:dyDescent="0.3">
      <c r="A352" s="5">
        <v>37684</v>
      </c>
      <c r="C352" t="s">
        <v>166</v>
      </c>
      <c r="E352" t="s">
        <v>23</v>
      </c>
      <c r="F352" s="11"/>
      <c r="G352" s="11"/>
      <c r="H352" t="s">
        <v>183</v>
      </c>
      <c r="J352" s="14">
        <v>1099</v>
      </c>
      <c r="M352" s="2">
        <v>3.5</v>
      </c>
      <c r="S352" s="4">
        <v>222</v>
      </c>
      <c r="T352" s="4" cm="1">
        <f t="array" ref="T352">_xlfn.IFS(M352&lt;=5,IF(ISNUMBER(X352)=TRUE,X352*1.79+AA352*1.8+Z352*5.56+50000*(10^-M352)-Q352,1.79+AA352*1.8+Z352*5.56+50000*(10^-M352)-Q352),M352&gt;5,IF(ISNUMBER(X352)=TRUE,X352*1.79+AA352*1.8+50000*(10^-M352)-Q352,AA352*1.8+50000*(10^-M352)-Q352))</f>
        <v>182.44138830084188</v>
      </c>
      <c r="W352" s="3">
        <v>37</v>
      </c>
      <c r="Z352" s="3">
        <v>29</v>
      </c>
      <c r="AA352" s="22">
        <v>2</v>
      </c>
      <c r="AB352" s="4">
        <v>324</v>
      </c>
      <c r="AD352" s="8"/>
      <c r="AE352" s="8"/>
      <c r="AN352" s="1">
        <f t="shared" si="163"/>
        <v>2927.7359999999999</v>
      </c>
      <c r="AO352" s="1">
        <f t="shared" si="164"/>
        <v>487.95600000000002</v>
      </c>
      <c r="AP352" s="1">
        <f t="shared" si="165"/>
        <v>382.452</v>
      </c>
      <c r="AQ352" s="1">
        <f t="shared" si="166"/>
        <v>26.376000000000001</v>
      </c>
      <c r="AR352" s="1">
        <f t="shared" si="167"/>
        <v>4272.9120000000003</v>
      </c>
      <c r="AU352" s="13"/>
      <c r="AV352" s="13"/>
    </row>
    <row r="353" spans="1:48" x14ac:dyDescent="0.3">
      <c r="A353" s="5">
        <v>37710</v>
      </c>
      <c r="C353" t="s">
        <v>166</v>
      </c>
      <c r="E353" t="s">
        <v>23</v>
      </c>
      <c r="F353" s="11"/>
      <c r="G353" s="11"/>
      <c r="H353" t="s">
        <v>183</v>
      </c>
      <c r="J353" s="14">
        <v>1005</v>
      </c>
      <c r="M353" s="2">
        <v>2.77</v>
      </c>
      <c r="S353" s="4">
        <v>451</v>
      </c>
      <c r="T353" s="4" cm="1">
        <f t="array" ref="T353">_xlfn.IFS(M353&lt;=5,IF(ISNUMBER(X353)=TRUE,X353*1.79+AA353*1.8+Z353*5.56+50000*(10^-M353)-Q353,1.79+AA353*1.8+Z353*5.56+50000*(10^-M353)-Q353),M353&gt;5,IF(ISNUMBER(X353)=TRUE,X353*1.79+AA353*1.8+50000*(10^-M353)-Q353,AA353*1.8+50000*(10^-M353)-Q353))</f>
        <v>390.54218262308706</v>
      </c>
      <c r="W353" s="3">
        <v>73</v>
      </c>
      <c r="Z353" s="3">
        <v>54</v>
      </c>
      <c r="AA353" s="22">
        <v>2</v>
      </c>
      <c r="AB353" s="4">
        <v>663</v>
      </c>
      <c r="AD353" s="8"/>
      <c r="AE353" s="8"/>
      <c r="AN353" s="1">
        <f t="shared" si="163"/>
        <v>5439.06</v>
      </c>
      <c r="AO353" s="1">
        <f t="shared" si="164"/>
        <v>880.38</v>
      </c>
      <c r="AP353" s="1">
        <f t="shared" si="165"/>
        <v>651.24</v>
      </c>
      <c r="AQ353" s="1">
        <f t="shared" si="166"/>
        <v>24.12</v>
      </c>
      <c r="AR353" s="1">
        <f t="shared" si="167"/>
        <v>7995.78</v>
      </c>
      <c r="AU353" s="13"/>
      <c r="AV353" s="13"/>
    </row>
    <row r="354" spans="1:48" x14ac:dyDescent="0.3">
      <c r="A354" s="5">
        <v>37741</v>
      </c>
      <c r="C354" t="s">
        <v>166</v>
      </c>
      <c r="E354" t="s">
        <v>23</v>
      </c>
      <c r="F354" s="11"/>
      <c r="G354" s="11"/>
      <c r="H354" t="s">
        <v>183</v>
      </c>
      <c r="J354" s="14">
        <v>379</v>
      </c>
      <c r="M354" s="2">
        <v>2.59</v>
      </c>
      <c r="S354" s="4">
        <v>1409</v>
      </c>
      <c r="T354" s="4" cm="1">
        <f t="array" ref="T354">_xlfn.IFS(M354&lt;=5,IF(ISNUMBER(X354)=TRUE,X354*1.79+AA354*1.8+Z354*5.56+50000*(10^-M354)-Q354,1.79+AA354*1.8+Z354*5.56+50000*(10^-M354)-Q354),M354&gt;5,IF(ISNUMBER(X354)=TRUE,X354*1.79+AA354*1.8+50000*(10^-M354)-Q354,AA354*1.8+50000*(10^-M354)-Q354))</f>
        <v>1065.8697891384431</v>
      </c>
      <c r="W354" s="3">
        <v>254</v>
      </c>
      <c r="Z354" s="3">
        <v>166</v>
      </c>
      <c r="AA354" s="22">
        <v>7</v>
      </c>
      <c r="AB354" s="4">
        <v>1732</v>
      </c>
      <c r="AD354" s="8"/>
      <c r="AE354" s="8"/>
      <c r="AN354" s="1">
        <f t="shared" si="163"/>
        <v>6408.1320000000005</v>
      </c>
      <c r="AO354" s="1">
        <f t="shared" si="164"/>
        <v>1155.192</v>
      </c>
      <c r="AP354" s="1">
        <f t="shared" si="165"/>
        <v>754.96799999999996</v>
      </c>
      <c r="AQ354" s="1">
        <f t="shared" si="166"/>
        <v>31.836000000000002</v>
      </c>
      <c r="AR354" s="1">
        <f t="shared" si="167"/>
        <v>7877.1360000000004</v>
      </c>
      <c r="AU354" s="13"/>
      <c r="AV354" s="13"/>
    </row>
    <row r="355" spans="1:48" x14ac:dyDescent="0.3">
      <c r="A355" s="5">
        <v>37796</v>
      </c>
      <c r="C355" t="s">
        <v>170</v>
      </c>
      <c r="E355" t="s">
        <v>23</v>
      </c>
      <c r="F355" s="11"/>
      <c r="G355" s="11"/>
      <c r="H355" t="s">
        <v>182</v>
      </c>
      <c r="J355" s="14"/>
      <c r="M355" s="2">
        <v>3.1</v>
      </c>
      <c r="S355" s="4">
        <v>589.20000000000005</v>
      </c>
      <c r="W355" s="3">
        <v>70.5</v>
      </c>
      <c r="X355" s="3">
        <v>73.260000000000005</v>
      </c>
      <c r="Z355" s="3">
        <v>90.9</v>
      </c>
      <c r="AA355" s="22">
        <v>3.68</v>
      </c>
      <c r="AB355" s="4">
        <v>654.79999999999995</v>
      </c>
      <c r="AD355" s="8"/>
      <c r="AE355" s="8"/>
      <c r="AU355" s="13"/>
      <c r="AV355" s="13"/>
    </row>
    <row r="356" spans="1:48" x14ac:dyDescent="0.3">
      <c r="A356" s="5">
        <v>37833</v>
      </c>
      <c r="C356" t="s">
        <v>170</v>
      </c>
      <c r="E356" t="s">
        <v>23</v>
      </c>
      <c r="F356" s="11"/>
      <c r="G356" s="11"/>
      <c r="H356" t="s">
        <v>182</v>
      </c>
      <c r="J356" s="14"/>
      <c r="M356" s="2">
        <v>3.1</v>
      </c>
      <c r="S356" s="4">
        <v>400.2</v>
      </c>
      <c r="W356" s="3">
        <v>58.3</v>
      </c>
      <c r="X356" s="3">
        <v>26.54</v>
      </c>
      <c r="Z356" s="3">
        <v>45</v>
      </c>
      <c r="AA356" s="22">
        <v>2.09</v>
      </c>
      <c r="AB356" s="4">
        <v>487.3</v>
      </c>
      <c r="AD356" s="8"/>
      <c r="AE356" s="8"/>
      <c r="AU356" s="13"/>
      <c r="AV356" s="13"/>
    </row>
    <row r="357" spans="1:48" x14ac:dyDescent="0.3">
      <c r="A357" s="5">
        <v>37925</v>
      </c>
      <c r="C357" t="s">
        <v>170</v>
      </c>
      <c r="E357" t="s">
        <v>23</v>
      </c>
      <c r="F357" s="11"/>
      <c r="G357" s="11"/>
      <c r="H357" t="s">
        <v>182</v>
      </c>
      <c r="J357" s="14"/>
      <c r="M357" s="2">
        <v>3.1</v>
      </c>
      <c r="S357" s="4">
        <v>374.8</v>
      </c>
      <c r="W357" s="3">
        <v>41.6</v>
      </c>
      <c r="X357" s="3">
        <v>17.899999999999999</v>
      </c>
      <c r="Z357" s="3">
        <v>45.8</v>
      </c>
      <c r="AA357" s="22">
        <v>2.2749999999999999</v>
      </c>
      <c r="AB357" s="4">
        <v>413.6</v>
      </c>
      <c r="AD357" s="8"/>
      <c r="AE357" s="8"/>
      <c r="AU357" s="13"/>
      <c r="AV357" s="13"/>
    </row>
    <row r="358" spans="1:48" s="26" customFormat="1" x14ac:dyDescent="0.3">
      <c r="A358" s="24">
        <v>38083</v>
      </c>
      <c r="B358" s="25"/>
      <c r="C358" s="26" t="s">
        <v>200</v>
      </c>
      <c r="E358" t="s">
        <v>23</v>
      </c>
      <c r="F358" s="27"/>
      <c r="G358" s="27"/>
      <c r="H358" s="26" t="s">
        <v>201</v>
      </c>
      <c r="I358" s="21"/>
      <c r="J358" s="9"/>
      <c r="L358" s="21"/>
      <c r="M358" s="21">
        <v>3.6</v>
      </c>
      <c r="N358" s="9"/>
      <c r="O358" s="9"/>
      <c r="P358" s="22"/>
      <c r="Q358" s="18"/>
      <c r="R358" s="18">
        <v>0</v>
      </c>
      <c r="S358" s="18">
        <v>192.8</v>
      </c>
      <c r="T358" s="18"/>
      <c r="U358" s="21"/>
      <c r="V358" s="21"/>
      <c r="W358" s="22">
        <v>28.547000000000001</v>
      </c>
      <c r="X358" s="22">
        <v>22.77</v>
      </c>
      <c r="Y358" s="22"/>
      <c r="Z358" s="22">
        <v>19.998000000000001</v>
      </c>
      <c r="AA358" s="22">
        <v>1.0960000000000001</v>
      </c>
      <c r="AB358" s="18">
        <v>239</v>
      </c>
      <c r="AC358" s="22"/>
      <c r="AD358" s="28"/>
      <c r="AE358" s="28"/>
      <c r="AF358" s="22"/>
      <c r="AG358" s="22"/>
      <c r="AH358" s="21"/>
      <c r="AI358" s="21"/>
      <c r="AJ358" s="22"/>
      <c r="AK358" s="22"/>
      <c r="AL358" s="22"/>
      <c r="AM358" s="22"/>
      <c r="AN358" s="9"/>
      <c r="AO358" s="9"/>
      <c r="AP358" s="9"/>
      <c r="AQ358" s="9"/>
      <c r="AR358" s="9"/>
      <c r="AS358" s="1"/>
      <c r="AU358" s="29"/>
      <c r="AV358" s="29"/>
    </row>
    <row r="359" spans="1:48" s="26" customFormat="1" x14ac:dyDescent="0.3">
      <c r="A359" s="24">
        <v>38285</v>
      </c>
      <c r="B359" s="25"/>
      <c r="C359" s="26" t="s">
        <v>200</v>
      </c>
      <c r="E359" t="s">
        <v>23</v>
      </c>
      <c r="F359" s="27"/>
      <c r="G359" s="27"/>
      <c r="H359" s="26" t="s">
        <v>201</v>
      </c>
      <c r="I359" s="21"/>
      <c r="J359" s="9"/>
      <c r="L359" s="21"/>
      <c r="M359" s="21">
        <v>3.1</v>
      </c>
      <c r="N359" s="9"/>
      <c r="O359" s="9"/>
      <c r="P359" s="22"/>
      <c r="Q359" s="18"/>
      <c r="R359" s="18">
        <v>0</v>
      </c>
      <c r="S359" s="18">
        <v>532.6</v>
      </c>
      <c r="T359" s="18"/>
      <c r="U359" s="21"/>
      <c r="V359" s="21"/>
      <c r="W359" s="22">
        <v>44.7</v>
      </c>
      <c r="X359" s="22">
        <v>7.67</v>
      </c>
      <c r="Y359" s="22"/>
      <c r="Z359" s="22">
        <v>70.5</v>
      </c>
      <c r="AA359" s="22">
        <v>3.75</v>
      </c>
      <c r="AB359" s="18">
        <v>691.9</v>
      </c>
      <c r="AC359" s="22"/>
      <c r="AD359" s="28"/>
      <c r="AE359" s="28"/>
      <c r="AF359" s="22"/>
      <c r="AG359" s="22"/>
      <c r="AH359" s="21"/>
      <c r="AI359" s="21"/>
      <c r="AJ359" s="22"/>
      <c r="AK359" s="22"/>
      <c r="AL359" s="22"/>
      <c r="AM359" s="22"/>
      <c r="AN359" s="9"/>
      <c r="AO359" s="9"/>
      <c r="AP359" s="9"/>
      <c r="AQ359" s="9"/>
      <c r="AR359" s="9"/>
      <c r="AS359" s="1"/>
      <c r="AU359" s="29"/>
      <c r="AV359" s="29"/>
    </row>
    <row r="360" spans="1:48" s="26" customFormat="1" x14ac:dyDescent="0.3">
      <c r="A360" s="24">
        <v>38459</v>
      </c>
      <c r="B360" s="25"/>
      <c r="C360" s="26" t="s">
        <v>200</v>
      </c>
      <c r="E360" t="s">
        <v>23</v>
      </c>
      <c r="F360" s="27"/>
      <c r="G360" s="27"/>
      <c r="H360" s="26" t="s">
        <v>201</v>
      </c>
      <c r="I360" s="21"/>
      <c r="J360" s="9"/>
      <c r="L360" s="21"/>
      <c r="M360" s="21">
        <v>3.1</v>
      </c>
      <c r="N360" s="9"/>
      <c r="O360" s="9"/>
      <c r="P360" s="22"/>
      <c r="Q360" s="18"/>
      <c r="R360" s="18">
        <v>0</v>
      </c>
      <c r="S360" s="18">
        <v>610.4</v>
      </c>
      <c r="T360" s="18"/>
      <c r="U360" s="21"/>
      <c r="V360" s="21"/>
      <c r="W360" s="22">
        <v>70.900000000000006</v>
      </c>
      <c r="X360" s="22">
        <v>44.61</v>
      </c>
      <c r="Y360" s="22"/>
      <c r="Z360" s="22">
        <v>60.2</v>
      </c>
      <c r="AA360" s="22">
        <v>3.12</v>
      </c>
      <c r="AB360" s="18">
        <v>847</v>
      </c>
      <c r="AC360" s="22"/>
      <c r="AD360" s="28"/>
      <c r="AE360" s="28"/>
      <c r="AF360" s="22"/>
      <c r="AG360" s="22"/>
      <c r="AH360" s="21"/>
      <c r="AI360" s="21"/>
      <c r="AJ360" s="22"/>
      <c r="AK360" s="22"/>
      <c r="AL360" s="22"/>
      <c r="AM360" s="22"/>
      <c r="AN360" s="9"/>
      <c r="AO360" s="9"/>
      <c r="AP360" s="9"/>
      <c r="AQ360" s="9"/>
      <c r="AR360" s="9"/>
      <c r="AS360" s="1"/>
      <c r="AU360" s="29"/>
      <c r="AV360" s="29"/>
    </row>
    <row r="361" spans="1:48" s="26" customFormat="1" x14ac:dyDescent="0.3">
      <c r="A361" s="24">
        <v>38549</v>
      </c>
      <c r="B361" s="25"/>
      <c r="C361" s="26" t="s">
        <v>200</v>
      </c>
      <c r="E361" t="s">
        <v>23</v>
      </c>
      <c r="F361" s="27"/>
      <c r="G361" s="27"/>
      <c r="H361" s="26" t="s">
        <v>201</v>
      </c>
      <c r="I361" s="21"/>
      <c r="J361" s="9"/>
      <c r="L361" s="21"/>
      <c r="M361" s="21">
        <v>3.1</v>
      </c>
      <c r="N361" s="9"/>
      <c r="O361" s="9"/>
      <c r="P361" s="22"/>
      <c r="Q361" s="18"/>
      <c r="R361" s="18">
        <v>0</v>
      </c>
      <c r="S361" s="18">
        <v>645.6</v>
      </c>
      <c r="T361" s="18"/>
      <c r="U361" s="21"/>
      <c r="V361" s="21"/>
      <c r="W361" s="22">
        <v>22.9</v>
      </c>
      <c r="X361" s="22">
        <v>5.38</v>
      </c>
      <c r="Y361" s="22"/>
      <c r="Z361" s="22">
        <v>87.7</v>
      </c>
      <c r="AA361" s="22">
        <v>6.25</v>
      </c>
      <c r="AB361" s="18">
        <v>1042.2</v>
      </c>
      <c r="AC361" s="22"/>
      <c r="AD361" s="28"/>
      <c r="AE361" s="28"/>
      <c r="AF361" s="22"/>
      <c r="AG361" s="22"/>
      <c r="AH361" s="21"/>
      <c r="AI361" s="21"/>
      <c r="AJ361" s="22"/>
      <c r="AK361" s="22"/>
      <c r="AL361" s="22"/>
      <c r="AM361" s="22"/>
      <c r="AN361" s="9"/>
      <c r="AO361" s="9"/>
      <c r="AP361" s="9"/>
      <c r="AQ361" s="9"/>
      <c r="AR361" s="9"/>
      <c r="AS361" s="1"/>
      <c r="AU361" s="29"/>
      <c r="AV361" s="29"/>
    </row>
    <row r="362" spans="1:48" s="26" customFormat="1" x14ac:dyDescent="0.3">
      <c r="A362" s="24">
        <v>38644</v>
      </c>
      <c r="B362" s="25"/>
      <c r="C362" s="26" t="s">
        <v>200</v>
      </c>
      <c r="E362" t="s">
        <v>23</v>
      </c>
      <c r="F362" s="27"/>
      <c r="G362" s="27"/>
      <c r="H362" s="26" t="s">
        <v>201</v>
      </c>
      <c r="I362" s="21"/>
      <c r="J362" s="9"/>
      <c r="L362" s="21"/>
      <c r="M362" s="21">
        <v>3.1</v>
      </c>
      <c r="N362" s="9"/>
      <c r="O362" s="9"/>
      <c r="P362" s="22"/>
      <c r="Q362" s="18"/>
      <c r="R362" s="18">
        <v>0</v>
      </c>
      <c r="S362" s="18">
        <v>1011.8</v>
      </c>
      <c r="T362" s="18"/>
      <c r="U362" s="21"/>
      <c r="V362" s="21"/>
      <c r="W362" s="22">
        <v>20</v>
      </c>
      <c r="X362" s="22">
        <v>2.93</v>
      </c>
      <c r="Y362" s="22"/>
      <c r="Z362" s="22">
        <v>120</v>
      </c>
      <c r="AA362" s="22">
        <v>9.19</v>
      </c>
      <c r="AB362" s="18">
        <v>1769.3</v>
      </c>
      <c r="AC362" s="22"/>
      <c r="AD362" s="28"/>
      <c r="AE362" s="28"/>
      <c r="AF362" s="22"/>
      <c r="AG362" s="22"/>
      <c r="AH362" s="21"/>
      <c r="AI362" s="21"/>
      <c r="AJ362" s="22"/>
      <c r="AK362" s="22"/>
      <c r="AL362" s="22"/>
      <c r="AM362" s="22"/>
      <c r="AN362" s="9"/>
      <c r="AO362" s="9"/>
      <c r="AP362" s="9"/>
      <c r="AQ362" s="9"/>
      <c r="AR362" s="9"/>
      <c r="AS362" s="1"/>
      <c r="AU362" s="29"/>
      <c r="AV362" s="29"/>
    </row>
    <row r="363" spans="1:48" s="26" customFormat="1" x14ac:dyDescent="0.3">
      <c r="A363" s="24">
        <v>38736</v>
      </c>
      <c r="B363" s="25"/>
      <c r="C363" s="26" t="s">
        <v>200</v>
      </c>
      <c r="E363" t="s">
        <v>23</v>
      </c>
      <c r="F363" s="27"/>
      <c r="G363" s="27"/>
      <c r="H363" s="26" t="s">
        <v>201</v>
      </c>
      <c r="I363" s="21"/>
      <c r="J363" s="9"/>
      <c r="L363" s="21"/>
      <c r="M363" s="21">
        <v>4.5999999999999996</v>
      </c>
      <c r="N363" s="9"/>
      <c r="O363" s="9"/>
      <c r="P363" s="22"/>
      <c r="Q363" s="18"/>
      <c r="R363" s="18">
        <v>8.4</v>
      </c>
      <c r="S363" s="18">
        <v>86.2</v>
      </c>
      <c r="T363" s="18"/>
      <c r="U363" s="21"/>
      <c r="V363" s="21"/>
      <c r="W363" s="22">
        <v>13.4</v>
      </c>
      <c r="X363" s="22">
        <v>10.75</v>
      </c>
      <c r="Y363" s="22"/>
      <c r="Z363" s="22">
        <v>9.0679999999999996</v>
      </c>
      <c r="AA363" s="22">
        <v>0.58299999999999996</v>
      </c>
      <c r="AB363" s="18">
        <v>149.19999999999999</v>
      </c>
      <c r="AC363" s="22"/>
      <c r="AD363" s="28"/>
      <c r="AE363" s="28"/>
      <c r="AF363" s="22"/>
      <c r="AG363" s="22"/>
      <c r="AH363" s="21"/>
      <c r="AI363" s="21"/>
      <c r="AJ363" s="22"/>
      <c r="AK363" s="22"/>
      <c r="AL363" s="22"/>
      <c r="AM363" s="22"/>
      <c r="AN363" s="9"/>
      <c r="AO363" s="9"/>
      <c r="AP363" s="9"/>
      <c r="AQ363" s="9"/>
      <c r="AR363" s="9"/>
      <c r="AS363" s="1"/>
      <c r="AU363" s="29"/>
      <c r="AV363" s="29"/>
    </row>
    <row r="364" spans="1:48" s="26" customFormat="1" x14ac:dyDescent="0.3">
      <c r="A364" s="24">
        <v>38827</v>
      </c>
      <c r="B364" s="25"/>
      <c r="C364" s="26" t="s">
        <v>200</v>
      </c>
      <c r="E364" t="s">
        <v>23</v>
      </c>
      <c r="F364" s="27"/>
      <c r="G364" s="27"/>
      <c r="H364" s="26" t="s">
        <v>201</v>
      </c>
      <c r="I364" s="21"/>
      <c r="J364" s="9"/>
      <c r="L364" s="21"/>
      <c r="M364" s="21">
        <v>3.1</v>
      </c>
      <c r="N364" s="9"/>
      <c r="O364" s="9"/>
      <c r="P364" s="22"/>
      <c r="Q364" s="18"/>
      <c r="R364" s="18">
        <v>0</v>
      </c>
      <c r="S364" s="18">
        <v>428</v>
      </c>
      <c r="T364" s="18"/>
      <c r="U364" s="21"/>
      <c r="V364" s="21"/>
      <c r="W364" s="22">
        <v>44.2</v>
      </c>
      <c r="X364" s="22">
        <v>18.100000000000001</v>
      </c>
      <c r="Y364" s="22"/>
      <c r="Z364" s="22">
        <v>65.599999999999994</v>
      </c>
      <c r="AA364" s="22">
        <v>3.26</v>
      </c>
      <c r="AB364" s="18">
        <v>654.79999999999995</v>
      </c>
      <c r="AC364" s="22"/>
      <c r="AD364" s="28"/>
      <c r="AE364" s="28"/>
      <c r="AF364" s="22"/>
      <c r="AG364" s="22"/>
      <c r="AH364" s="21"/>
      <c r="AI364" s="21"/>
      <c r="AJ364" s="22"/>
      <c r="AK364" s="22"/>
      <c r="AL364" s="22"/>
      <c r="AM364" s="22"/>
      <c r="AN364" s="9"/>
      <c r="AO364" s="9"/>
      <c r="AP364" s="9"/>
      <c r="AQ364" s="9"/>
      <c r="AR364" s="9"/>
      <c r="AS364" s="1"/>
      <c r="AU364" s="29"/>
      <c r="AV364" s="29"/>
    </row>
    <row r="365" spans="1:48" s="26" customFormat="1" x14ac:dyDescent="0.3">
      <c r="A365" s="24">
        <v>38918</v>
      </c>
      <c r="B365" s="25"/>
      <c r="C365" s="26" t="s">
        <v>200</v>
      </c>
      <c r="E365" t="s">
        <v>23</v>
      </c>
      <c r="F365" s="27"/>
      <c r="G365" s="27"/>
      <c r="H365" s="26" t="s">
        <v>201</v>
      </c>
      <c r="I365" s="21"/>
      <c r="J365" s="9"/>
      <c r="L365" s="21"/>
      <c r="M365" s="21">
        <v>2.9</v>
      </c>
      <c r="N365" s="9"/>
      <c r="O365" s="9"/>
      <c r="P365" s="22"/>
      <c r="Q365" s="18"/>
      <c r="R365" s="18">
        <v>0</v>
      </c>
      <c r="S365" s="18">
        <v>869</v>
      </c>
      <c r="T365" s="18"/>
      <c r="U365" s="21"/>
      <c r="V365" s="21"/>
      <c r="W365" s="22">
        <v>52.7</v>
      </c>
      <c r="X365" s="22">
        <v>11.49</v>
      </c>
      <c r="Y365" s="22"/>
      <c r="Z365" s="22">
        <v>86.8</v>
      </c>
      <c r="AA365" s="22">
        <v>5.1100000000000003</v>
      </c>
      <c r="AB365" s="18">
        <v>1282.4000000000001</v>
      </c>
      <c r="AC365" s="22"/>
      <c r="AD365" s="28"/>
      <c r="AE365" s="28"/>
      <c r="AF365" s="22"/>
      <c r="AG365" s="22"/>
      <c r="AH365" s="21"/>
      <c r="AI365" s="21"/>
      <c r="AJ365" s="22"/>
      <c r="AK365" s="22"/>
      <c r="AL365" s="22"/>
      <c r="AM365" s="22"/>
      <c r="AN365" s="9"/>
      <c r="AO365" s="9"/>
      <c r="AP365" s="9"/>
      <c r="AQ365" s="9"/>
      <c r="AR365" s="9"/>
      <c r="AS365" s="1"/>
      <c r="AU365" s="29"/>
      <c r="AV365" s="29"/>
    </row>
    <row r="366" spans="1:48" s="26" customFormat="1" x14ac:dyDescent="0.3">
      <c r="A366" s="24">
        <v>39020</v>
      </c>
      <c r="B366" s="25"/>
      <c r="C366" s="26" t="s">
        <v>200</v>
      </c>
      <c r="E366" t="s">
        <v>23</v>
      </c>
      <c r="F366" s="27"/>
      <c r="G366" s="27"/>
      <c r="H366" s="26" t="s">
        <v>201</v>
      </c>
      <c r="I366" s="21"/>
      <c r="J366" s="9"/>
      <c r="L366" s="21"/>
      <c r="M366" s="21">
        <v>3.9</v>
      </c>
      <c r="N366" s="9"/>
      <c r="O366" s="9"/>
      <c r="P366" s="22"/>
      <c r="Q366" s="18"/>
      <c r="R366" s="18">
        <v>0</v>
      </c>
      <c r="S366" s="18">
        <v>87.6</v>
      </c>
      <c r="T366" s="18"/>
      <c r="U366" s="21"/>
      <c r="V366" s="21"/>
      <c r="W366" s="22">
        <v>16.579999999999998</v>
      </c>
      <c r="X366" s="22">
        <v>14.6</v>
      </c>
      <c r="Y366" s="22"/>
      <c r="Z366" s="22">
        <v>12.21</v>
      </c>
      <c r="AA366" s="22">
        <v>0.69199999999999995</v>
      </c>
      <c r="AB366" s="18">
        <v>183.3</v>
      </c>
      <c r="AC366" s="22"/>
      <c r="AD366" s="28"/>
      <c r="AE366" s="28"/>
      <c r="AF366" s="22"/>
      <c r="AG366" s="22"/>
      <c r="AH366" s="21"/>
      <c r="AI366" s="21"/>
      <c r="AJ366" s="22"/>
      <c r="AK366" s="22"/>
      <c r="AL366" s="22"/>
      <c r="AM366" s="22"/>
      <c r="AN366" s="9"/>
      <c r="AO366" s="9"/>
      <c r="AP366" s="9"/>
      <c r="AQ366" s="9"/>
      <c r="AR366" s="9"/>
      <c r="AS366" s="1"/>
      <c r="AU366" s="29"/>
      <c r="AV366" s="29"/>
    </row>
    <row r="367" spans="1:48" s="26" customFormat="1" x14ac:dyDescent="0.3">
      <c r="A367" s="24">
        <v>39198</v>
      </c>
      <c r="B367" s="25"/>
      <c r="C367" s="26" t="s">
        <v>200</v>
      </c>
      <c r="E367" t="s">
        <v>23</v>
      </c>
      <c r="F367" s="27"/>
      <c r="G367" s="27"/>
      <c r="H367" s="26" t="s">
        <v>201</v>
      </c>
      <c r="I367" s="21"/>
      <c r="J367" s="9"/>
      <c r="L367" s="21"/>
      <c r="M367" s="21">
        <v>3.5</v>
      </c>
      <c r="N367" s="9"/>
      <c r="O367" s="9"/>
      <c r="P367" s="22"/>
      <c r="Q367" s="18"/>
      <c r="R367" s="18">
        <v>0</v>
      </c>
      <c r="S367" s="18">
        <v>161</v>
      </c>
      <c r="T367" s="18"/>
      <c r="U367" s="21"/>
      <c r="V367" s="21"/>
      <c r="W367" s="22">
        <v>26.8</v>
      </c>
      <c r="X367" s="22">
        <v>21.93</v>
      </c>
      <c r="Y367" s="22"/>
      <c r="Z367" s="22">
        <v>19.75</v>
      </c>
      <c r="AA367" s="22">
        <v>0.875</v>
      </c>
      <c r="AB367" s="18">
        <v>238.3</v>
      </c>
      <c r="AC367" s="22"/>
      <c r="AD367" s="28"/>
      <c r="AE367" s="28"/>
      <c r="AF367" s="22"/>
      <c r="AG367" s="22"/>
      <c r="AH367" s="21"/>
      <c r="AI367" s="21"/>
      <c r="AJ367" s="22"/>
      <c r="AK367" s="22"/>
      <c r="AL367" s="22"/>
      <c r="AM367" s="22"/>
      <c r="AN367" s="9"/>
      <c r="AO367" s="9"/>
      <c r="AP367" s="9"/>
      <c r="AQ367" s="9"/>
      <c r="AR367" s="9"/>
      <c r="AS367" s="1"/>
      <c r="AU367" s="29"/>
      <c r="AV367" s="29"/>
    </row>
    <row r="368" spans="1:48" s="26" customFormat="1" x14ac:dyDescent="0.3">
      <c r="A368" s="24">
        <v>39294</v>
      </c>
      <c r="B368" s="25"/>
      <c r="C368" s="26" t="s">
        <v>200</v>
      </c>
      <c r="E368" t="s">
        <v>23</v>
      </c>
      <c r="F368" s="27"/>
      <c r="G368" s="27"/>
      <c r="H368" s="26" t="s">
        <v>201</v>
      </c>
      <c r="I368" s="21"/>
      <c r="J368" s="9"/>
      <c r="L368" s="21"/>
      <c r="M368" s="21">
        <v>3</v>
      </c>
      <c r="N368" s="9"/>
      <c r="O368" s="9"/>
      <c r="P368" s="22"/>
      <c r="Q368" s="18"/>
      <c r="R368" s="18">
        <v>0</v>
      </c>
      <c r="S368" s="18">
        <v>1001.4</v>
      </c>
      <c r="T368" s="18"/>
      <c r="U368" s="21"/>
      <c r="V368" s="21"/>
      <c r="W368" s="22">
        <v>46.9</v>
      </c>
      <c r="X368" s="22">
        <v>7.9</v>
      </c>
      <c r="Y368" s="22"/>
      <c r="Z368" s="22">
        <v>125</v>
      </c>
      <c r="AA368" s="22">
        <v>7.81</v>
      </c>
      <c r="AB368" s="18">
        <v>1326.5</v>
      </c>
      <c r="AC368" s="22"/>
      <c r="AD368" s="28"/>
      <c r="AE368" s="28"/>
      <c r="AF368" s="22"/>
      <c r="AG368" s="22"/>
      <c r="AH368" s="21"/>
      <c r="AI368" s="21"/>
      <c r="AJ368" s="22"/>
      <c r="AK368" s="22"/>
      <c r="AL368" s="22"/>
      <c r="AM368" s="22"/>
      <c r="AN368" s="9"/>
      <c r="AO368" s="9"/>
      <c r="AP368" s="9"/>
      <c r="AQ368" s="9"/>
      <c r="AR368" s="9"/>
      <c r="AS368" s="1"/>
      <c r="AU368" s="29"/>
      <c r="AV368" s="29"/>
    </row>
    <row r="369" spans="1:49" s="26" customFormat="1" x14ac:dyDescent="0.3">
      <c r="A369" s="24">
        <v>39385</v>
      </c>
      <c r="B369" s="25"/>
      <c r="C369" s="26" t="s">
        <v>200</v>
      </c>
      <c r="E369" t="s">
        <v>23</v>
      </c>
      <c r="F369" s="27"/>
      <c r="G369" s="27"/>
      <c r="H369" s="26" t="s">
        <v>201</v>
      </c>
      <c r="I369" s="21"/>
      <c r="J369" s="9"/>
      <c r="L369" s="21"/>
      <c r="M369" s="21">
        <v>3</v>
      </c>
      <c r="N369" s="9"/>
      <c r="O369" s="9"/>
      <c r="P369" s="22"/>
      <c r="Q369" s="18"/>
      <c r="R369" s="18">
        <v>0</v>
      </c>
      <c r="S369" s="18">
        <v>1092.5999999999999</v>
      </c>
      <c r="T369" s="18"/>
      <c r="U369" s="21"/>
      <c r="V369" s="21"/>
      <c r="W369" s="22">
        <v>64.5</v>
      </c>
      <c r="X369" s="22">
        <v>6.75</v>
      </c>
      <c r="Y369" s="22"/>
      <c r="Z369" s="22">
        <v>142</v>
      </c>
      <c r="AA369" s="22">
        <v>8.5500000000000007</v>
      </c>
      <c r="AB369" s="18">
        <v>1221.4000000000001</v>
      </c>
      <c r="AC369" s="22"/>
      <c r="AD369" s="28"/>
      <c r="AE369" s="28"/>
      <c r="AF369" s="22"/>
      <c r="AG369" s="22"/>
      <c r="AH369" s="21"/>
      <c r="AI369" s="21"/>
      <c r="AJ369" s="22"/>
      <c r="AK369" s="22"/>
      <c r="AL369" s="22"/>
      <c r="AM369" s="22"/>
      <c r="AN369" s="9"/>
      <c r="AO369" s="9"/>
      <c r="AP369" s="9"/>
      <c r="AQ369" s="9"/>
      <c r="AR369" s="9"/>
      <c r="AS369" s="1"/>
      <c r="AU369" s="29"/>
      <c r="AV369" s="29"/>
    </row>
    <row r="370" spans="1:49" s="26" customFormat="1" x14ac:dyDescent="0.3">
      <c r="A370" s="24">
        <v>39476</v>
      </c>
      <c r="B370" s="25"/>
      <c r="C370" s="26" t="s">
        <v>200</v>
      </c>
      <c r="E370" t="s">
        <v>23</v>
      </c>
      <c r="F370" s="27"/>
      <c r="G370" s="27"/>
      <c r="H370" s="26" t="s">
        <v>201</v>
      </c>
      <c r="I370" s="21"/>
      <c r="J370" s="9"/>
      <c r="L370" s="21"/>
      <c r="M370" s="21">
        <v>3.3</v>
      </c>
      <c r="N370" s="9"/>
      <c r="O370" s="9"/>
      <c r="P370" s="22"/>
      <c r="Q370" s="18"/>
      <c r="R370" s="18">
        <v>0</v>
      </c>
      <c r="S370" s="18">
        <v>352.6</v>
      </c>
      <c r="T370" s="18"/>
      <c r="U370" s="21"/>
      <c r="V370" s="21"/>
      <c r="W370" s="22">
        <v>71.295000000000002</v>
      </c>
      <c r="X370" s="22">
        <v>34.04</v>
      </c>
      <c r="Y370" s="22"/>
      <c r="Z370" s="22">
        <v>55.54</v>
      </c>
      <c r="AA370" s="22">
        <v>2.5710000000000002</v>
      </c>
      <c r="AB370" s="18">
        <v>733.7</v>
      </c>
      <c r="AC370" s="22"/>
      <c r="AD370" s="28"/>
      <c r="AE370" s="28"/>
      <c r="AF370" s="22"/>
      <c r="AG370" s="22"/>
      <c r="AH370" s="21"/>
      <c r="AI370" s="21"/>
      <c r="AJ370" s="22"/>
      <c r="AK370" s="22"/>
      <c r="AL370" s="22"/>
      <c r="AM370" s="22"/>
      <c r="AN370" s="9"/>
      <c r="AO370" s="9"/>
      <c r="AP370" s="9"/>
      <c r="AQ370" s="9"/>
      <c r="AR370" s="9"/>
      <c r="AS370" s="1"/>
      <c r="AU370" s="29"/>
      <c r="AV370" s="29"/>
    </row>
    <row r="371" spans="1:49" s="26" customFormat="1" x14ac:dyDescent="0.3">
      <c r="A371" s="24">
        <v>39586</v>
      </c>
      <c r="B371" s="25"/>
      <c r="C371" s="26" t="s">
        <v>200</v>
      </c>
      <c r="E371" t="s">
        <v>23</v>
      </c>
      <c r="F371" s="27"/>
      <c r="G371" s="27"/>
      <c r="H371" s="26" t="s">
        <v>201</v>
      </c>
      <c r="I371" s="21"/>
      <c r="J371" s="9"/>
      <c r="L371" s="21"/>
      <c r="M371" s="21">
        <v>3.8</v>
      </c>
      <c r="N371" s="9"/>
      <c r="O371" s="9"/>
      <c r="P371" s="22"/>
      <c r="Q371" s="18"/>
      <c r="R371" s="18">
        <v>0</v>
      </c>
      <c r="S371" s="18">
        <v>139.19999999999999</v>
      </c>
      <c r="T371" s="18"/>
      <c r="U371" s="21"/>
      <c r="V371" s="21"/>
      <c r="W371" s="22">
        <v>14.196</v>
      </c>
      <c r="X371" s="22">
        <v>6.27</v>
      </c>
      <c r="Y371" s="22"/>
      <c r="Z371" s="22">
        <v>19.009</v>
      </c>
      <c r="AA371" s="22">
        <v>1.1419999999999999</v>
      </c>
      <c r="AB371" s="18">
        <v>250.4</v>
      </c>
      <c r="AC371" s="22"/>
      <c r="AD371" s="28"/>
      <c r="AE371" s="28"/>
      <c r="AF371" s="22"/>
      <c r="AG371" s="22"/>
      <c r="AH371" s="21"/>
      <c r="AI371" s="21"/>
      <c r="AJ371" s="22"/>
      <c r="AK371" s="22"/>
      <c r="AL371" s="22"/>
      <c r="AM371" s="22"/>
      <c r="AN371" s="9"/>
      <c r="AO371" s="9"/>
      <c r="AP371" s="9"/>
      <c r="AQ371" s="9"/>
      <c r="AR371" s="9"/>
      <c r="AS371" s="1"/>
      <c r="AU371" s="29"/>
      <c r="AV371" s="29"/>
    </row>
    <row r="372" spans="1:49" s="26" customFormat="1" x14ac:dyDescent="0.3">
      <c r="A372" s="24">
        <v>39660</v>
      </c>
      <c r="B372" s="25"/>
      <c r="C372" s="26" t="s">
        <v>200</v>
      </c>
      <c r="E372" t="s">
        <v>23</v>
      </c>
      <c r="F372" s="27"/>
      <c r="G372" s="27"/>
      <c r="H372" s="26" t="s">
        <v>201</v>
      </c>
      <c r="I372" s="21"/>
      <c r="J372" s="9"/>
      <c r="L372" s="21"/>
      <c r="M372" s="21">
        <v>2.9</v>
      </c>
      <c r="N372" s="9"/>
      <c r="O372" s="9"/>
      <c r="P372" s="22"/>
      <c r="Q372" s="18"/>
      <c r="R372" s="18">
        <v>0</v>
      </c>
      <c r="S372" s="18">
        <v>898.4</v>
      </c>
      <c r="T372" s="18"/>
      <c r="U372" s="21"/>
      <c r="V372" s="21"/>
      <c r="W372" s="22">
        <v>73.716999999999999</v>
      </c>
      <c r="X372" s="22">
        <v>14.59</v>
      </c>
      <c r="Y372" s="22"/>
      <c r="Z372" s="22">
        <v>123.63500000000001</v>
      </c>
      <c r="AA372" s="22">
        <v>6.5140000000000002</v>
      </c>
      <c r="AB372" s="18">
        <v>1328.6</v>
      </c>
      <c r="AC372" s="22"/>
      <c r="AD372" s="28"/>
      <c r="AE372" s="28"/>
      <c r="AF372" s="22"/>
      <c r="AG372" s="22"/>
      <c r="AH372" s="21"/>
      <c r="AI372" s="21"/>
      <c r="AJ372" s="22"/>
      <c r="AK372" s="22"/>
      <c r="AL372" s="22"/>
      <c r="AM372" s="22"/>
      <c r="AN372" s="9"/>
      <c r="AO372" s="9"/>
      <c r="AP372" s="9"/>
      <c r="AQ372" s="9"/>
      <c r="AR372" s="9"/>
      <c r="AS372" s="1"/>
      <c r="AU372" s="29"/>
      <c r="AV372" s="29"/>
    </row>
    <row r="373" spans="1:49" x14ac:dyDescent="0.3">
      <c r="A373" s="5">
        <v>39752</v>
      </c>
      <c r="C373" s="26" t="s">
        <v>200</v>
      </c>
      <c r="D373" s="26"/>
      <c r="E373" t="s">
        <v>23</v>
      </c>
      <c r="F373" s="11"/>
      <c r="G373" s="11"/>
      <c r="H373" t="s">
        <v>201</v>
      </c>
      <c r="J373" s="14"/>
      <c r="M373" s="2">
        <v>3.1</v>
      </c>
      <c r="R373" s="4">
        <v>0</v>
      </c>
      <c r="S373" s="4">
        <v>565</v>
      </c>
      <c r="W373" s="3">
        <v>29.128</v>
      </c>
      <c r="X373" s="3">
        <v>3.91</v>
      </c>
      <c r="Z373" s="3">
        <v>77.590999999999994</v>
      </c>
      <c r="AA373" s="22">
        <v>4.9630000000000001</v>
      </c>
      <c r="AB373" s="4">
        <v>1085.5</v>
      </c>
      <c r="AD373" s="8"/>
      <c r="AE373" s="8"/>
      <c r="AU373" s="13"/>
      <c r="AV373" s="13"/>
    </row>
    <row r="374" spans="1:49" x14ac:dyDescent="0.3">
      <c r="A374" s="5">
        <v>39857</v>
      </c>
      <c r="C374" s="26" t="s">
        <v>200</v>
      </c>
      <c r="D374" s="26"/>
      <c r="E374" t="s">
        <v>23</v>
      </c>
      <c r="F374" s="11"/>
      <c r="G374" s="11"/>
      <c r="H374" t="s">
        <v>201</v>
      </c>
      <c r="J374" s="14"/>
      <c r="M374" s="2">
        <v>4.3</v>
      </c>
      <c r="R374" s="4">
        <v>6</v>
      </c>
      <c r="S374" s="4">
        <v>96.8</v>
      </c>
      <c r="W374" s="3">
        <v>15.14</v>
      </c>
      <c r="X374" s="3">
        <v>11.31</v>
      </c>
      <c r="Z374" s="3">
        <v>10.64</v>
      </c>
      <c r="AA374" s="22">
        <v>0.68</v>
      </c>
      <c r="AB374" s="4">
        <v>151.1</v>
      </c>
      <c r="AD374" s="8"/>
      <c r="AE374" s="8"/>
      <c r="AU374" s="13"/>
      <c r="AV374" s="13"/>
    </row>
    <row r="375" spans="1:49" x14ac:dyDescent="0.3">
      <c r="A375" s="5">
        <v>44845</v>
      </c>
      <c r="B375" s="12" t="s">
        <v>22</v>
      </c>
      <c r="C375" t="s">
        <v>147</v>
      </c>
      <c r="D375">
        <v>60151</v>
      </c>
      <c r="E375" t="s">
        <v>23</v>
      </c>
      <c r="F375" s="11">
        <v>40.660511</v>
      </c>
      <c r="G375" s="11">
        <v>-79.035275999999996</v>
      </c>
      <c r="H375" t="s">
        <v>90</v>
      </c>
      <c r="I375" s="2">
        <v>1.64</v>
      </c>
      <c r="J375" s="1">
        <v>46</v>
      </c>
      <c r="K375" t="s">
        <v>96</v>
      </c>
      <c r="L375" s="2">
        <v>2.92</v>
      </c>
      <c r="M375" s="2">
        <v>2.9</v>
      </c>
      <c r="N375" s="1">
        <v>1703</v>
      </c>
      <c r="O375" s="1">
        <v>1741</v>
      </c>
      <c r="P375" s="3">
        <v>11.7</v>
      </c>
      <c r="Q375" s="4">
        <v>0</v>
      </c>
      <c r="R375" s="4">
        <v>0</v>
      </c>
      <c r="S375" s="4">
        <v>676.6</v>
      </c>
      <c r="T375" s="4">
        <f>(X375*1.79+Y375*2.68+5.56*Z375+1.82*AA375+50000*(10^-L375)-R375)</f>
        <v>710.51947173087058</v>
      </c>
      <c r="U375" s="2">
        <v>8.7100000000000009</v>
      </c>
      <c r="V375" s="2">
        <v>81</v>
      </c>
      <c r="W375" s="3">
        <v>75.319999999999993</v>
      </c>
      <c r="X375" s="3">
        <v>20.989000000000001</v>
      </c>
      <c r="Y375" s="4">
        <f t="shared" ref="Y375:Y378" si="168">IF(W375-X375&lt;0,0,W375-X375)</f>
        <v>54.330999999999989</v>
      </c>
      <c r="Z375" s="3">
        <v>82.74</v>
      </c>
      <c r="AA375" s="22">
        <v>3.9529999999999998</v>
      </c>
      <c r="AB375" s="4">
        <v>1169.02</v>
      </c>
      <c r="AC375" s="3">
        <v>145.80000000000001</v>
      </c>
      <c r="AD375" s="8">
        <v>22.85</v>
      </c>
      <c r="AE375" s="8">
        <v>7.64</v>
      </c>
      <c r="AF375" s="3">
        <v>3.1</v>
      </c>
      <c r="AG375" s="3">
        <v>11.7</v>
      </c>
      <c r="AH375" s="2">
        <v>0.24199999999999999</v>
      </c>
      <c r="AI375" s="2">
        <v>0.56299999999999994</v>
      </c>
      <c r="AJ375" s="3" t="s">
        <v>159</v>
      </c>
      <c r="AN375" s="1">
        <f t="shared" ref="AN375:AN380" si="169">S375*J375*0.012</f>
        <v>373.48320000000001</v>
      </c>
      <c r="AO375" s="1">
        <f>W375*J375*0.012</f>
        <v>41.576639999999998</v>
      </c>
      <c r="AP375" s="1">
        <f>Z375*J375*0.012</f>
        <v>45.67248</v>
      </c>
      <c r="AQ375" s="1">
        <f>AA375*J375*0.012</f>
        <v>2.1820559999999998</v>
      </c>
      <c r="AR375" s="1">
        <f>AB375*J375*0.012</f>
        <v>645.29903999999999</v>
      </c>
      <c r="AS375" s="1">
        <f t="shared" ref="AS375:AS434" si="170">0.012*R375*J375</f>
        <v>0</v>
      </c>
      <c r="AU375" s="13" t="str">
        <f>CONCATENATE(TEXT(ROUNDDOWN(ABS(F375),0),"00"),"° ",TEXT(ROUNDDOWN(ABS((F375-ROUNDDOWN(F375,0))*60),0),"00"),"' ",TEXT(TRUNC((ABS((F375-ROUNDDOWN(F375,0))*60)-ROUNDDOWN(ABS((F375-ROUNDDOWN(F375,0))*60),0))*60,2),"00.00"),"""",IF(F375&lt;0," S"," N"))</f>
        <v>40° 39' 37.83" N</v>
      </c>
      <c r="AV375" s="13" t="str">
        <f>CONCATENATE(TEXT(ROUNDDOWN(ABS(G375),0),"000"),"° ",TEXT(ROUNDDOWN(ABS((G375-ROUNDDOWN(G375,0))*60),0),"00"),"' ",TEXT(TRUNC((ABS((G375-ROUNDDOWN(G375,0))*60)-ROUNDDOWN(ABS((G375-ROUNDDOWN(G375,0))*60),0))*60,2),"00.00"),"""",IF(G375&lt;0," W"," E"))</f>
        <v>079° 02' 06.99" W</v>
      </c>
      <c r="AW375" t="s">
        <v>142</v>
      </c>
    </row>
    <row r="376" spans="1:49" x14ac:dyDescent="0.3">
      <c r="A376" s="5">
        <v>44903</v>
      </c>
      <c r="B376" s="12" t="s">
        <v>22</v>
      </c>
      <c r="C376" t="s">
        <v>147</v>
      </c>
      <c r="D376">
        <v>60151</v>
      </c>
      <c r="E376" t="s">
        <v>23</v>
      </c>
      <c r="F376" s="11">
        <v>40.660511</v>
      </c>
      <c r="G376" s="11">
        <v>-79.035275999999996</v>
      </c>
      <c r="H376" t="s">
        <v>90</v>
      </c>
      <c r="I376" s="2">
        <v>1.64</v>
      </c>
      <c r="J376" s="1">
        <v>334.4</v>
      </c>
      <c r="K376" t="s">
        <v>96</v>
      </c>
      <c r="L376" s="2">
        <v>4.34</v>
      </c>
      <c r="M376" s="2">
        <v>4.3</v>
      </c>
      <c r="N376" s="1">
        <v>473.8</v>
      </c>
      <c r="O376" s="1">
        <v>504</v>
      </c>
      <c r="Q376" s="4">
        <v>0</v>
      </c>
      <c r="R376" s="4">
        <v>0</v>
      </c>
      <c r="S376" s="4">
        <v>112.4</v>
      </c>
      <c r="T376" s="4">
        <f>(X376*1.79+Y376*2.68+5.56*Z376+1.82*AA376+50000*(10^-L376)-R376)</f>
        <v>129.82781094807436</v>
      </c>
      <c r="W376" s="3">
        <v>18</v>
      </c>
      <c r="X376" s="3">
        <v>9.5169999999999995</v>
      </c>
      <c r="Y376" s="4">
        <f t="shared" si="168"/>
        <v>8.4830000000000005</v>
      </c>
      <c r="Z376" s="3">
        <v>15.5</v>
      </c>
      <c r="AA376" s="3">
        <v>0.875</v>
      </c>
      <c r="AC376" s="3">
        <v>44.1</v>
      </c>
      <c r="AD376" s="8">
        <v>9.41</v>
      </c>
      <c r="AE376" s="8">
        <v>5.89</v>
      </c>
      <c r="AF376" s="3">
        <v>1.95</v>
      </c>
      <c r="AG376" s="3">
        <v>10</v>
      </c>
      <c r="AH376" s="2" t="s">
        <v>161</v>
      </c>
      <c r="AI376" s="2">
        <v>0.115</v>
      </c>
      <c r="AJ376" s="3" t="s">
        <v>159</v>
      </c>
      <c r="AN376" s="1">
        <f t="shared" si="169"/>
        <v>451.03871999999996</v>
      </c>
      <c r="AO376" s="1">
        <f>W376*J376*0.012</f>
        <v>72.230400000000003</v>
      </c>
      <c r="AP376" s="1">
        <f>Z376*J376*0.012</f>
        <v>62.198399999999999</v>
      </c>
      <c r="AQ376" s="1">
        <f>AA376*J376*0.012</f>
        <v>3.5111999999999997</v>
      </c>
      <c r="AS376" s="1">
        <f t="shared" si="170"/>
        <v>0</v>
      </c>
      <c r="AU376" s="13"/>
      <c r="AV376" s="13"/>
    </row>
    <row r="377" spans="1:49" x14ac:dyDescent="0.3">
      <c r="A377" s="5">
        <v>44964</v>
      </c>
      <c r="B377" s="12" t="s">
        <v>22</v>
      </c>
      <c r="C377" s="26" t="s">
        <v>147</v>
      </c>
      <c r="D377">
        <v>60151</v>
      </c>
      <c r="E377" t="s">
        <v>23</v>
      </c>
      <c r="F377" s="11">
        <v>40.660511</v>
      </c>
      <c r="G377" s="11">
        <v>-79.035275999999996</v>
      </c>
      <c r="H377" t="s">
        <v>218</v>
      </c>
      <c r="J377" s="1">
        <v>139</v>
      </c>
      <c r="K377" t="s">
        <v>96</v>
      </c>
      <c r="L377" s="2">
        <v>3.26</v>
      </c>
      <c r="M377" s="2">
        <v>3.2</v>
      </c>
      <c r="N377" s="1">
        <v>1072</v>
      </c>
      <c r="O377" s="1">
        <v>1165</v>
      </c>
      <c r="Q377" s="4">
        <v>0</v>
      </c>
      <c r="R377" s="4">
        <v>0</v>
      </c>
      <c r="S377" s="4">
        <v>405.6</v>
      </c>
      <c r="T377" s="4">
        <f t="shared" ref="T377:T378" si="171">(X377*1.79+Y377*2.68+5.56*Z377+1.82*AA377+50000*(10^-L377)-R377)</f>
        <v>433.19761369288125</v>
      </c>
      <c r="W377" s="3">
        <v>68.2</v>
      </c>
      <c r="X377" s="3">
        <v>43.149000000000001</v>
      </c>
      <c r="Y377" s="4">
        <f t="shared" si="168"/>
        <v>25.051000000000002</v>
      </c>
      <c r="Z377" s="3">
        <v>46.38</v>
      </c>
      <c r="AA377" s="3">
        <v>1.909</v>
      </c>
      <c r="AB377" s="4">
        <v>663.16</v>
      </c>
      <c r="AC377" s="3">
        <v>74.08</v>
      </c>
      <c r="AD377" s="8">
        <v>13.55</v>
      </c>
      <c r="AE377" s="8">
        <v>6.89</v>
      </c>
      <c r="AF377" s="3">
        <v>2.44</v>
      </c>
      <c r="AG377" s="3">
        <v>10.7</v>
      </c>
      <c r="AH377" s="2">
        <v>0.13</v>
      </c>
      <c r="AI377" s="2">
        <v>0.27200000000000002</v>
      </c>
      <c r="AJ377" s="3" t="s">
        <v>159</v>
      </c>
      <c r="AN377" s="1">
        <f t="shared" si="169"/>
        <v>676.54079999999999</v>
      </c>
      <c r="AO377" s="1">
        <f>W377*J377*0.012</f>
        <v>113.75760000000001</v>
      </c>
      <c r="AP377" s="1">
        <f>Z377*J377*0.012</f>
        <v>77.361840000000015</v>
      </c>
      <c r="AQ377" s="1">
        <f>AA377*J377*0.012</f>
        <v>3.184212</v>
      </c>
      <c r="AR377" s="1">
        <f>AB377*J377*0.012</f>
        <v>1106.1508799999999</v>
      </c>
      <c r="AS377" s="1">
        <f t="shared" si="170"/>
        <v>0</v>
      </c>
      <c r="AU377" s="13"/>
      <c r="AV377" s="13"/>
    </row>
    <row r="378" spans="1:49" x14ac:dyDescent="0.3">
      <c r="A378" s="5">
        <v>45022</v>
      </c>
      <c r="B378" s="12" t="s">
        <v>34</v>
      </c>
      <c r="C378" s="26" t="s">
        <v>147</v>
      </c>
      <c r="D378">
        <v>60151</v>
      </c>
      <c r="E378" t="s">
        <v>23</v>
      </c>
      <c r="F378" s="11">
        <v>40.660511</v>
      </c>
      <c r="G378" s="11">
        <v>-79.035275999999996</v>
      </c>
      <c r="H378" t="s">
        <v>256</v>
      </c>
      <c r="J378" s="1">
        <v>390</v>
      </c>
      <c r="K378" t="s">
        <v>96</v>
      </c>
      <c r="L378" s="2">
        <v>3.56</v>
      </c>
      <c r="M378" s="2">
        <v>3.3</v>
      </c>
      <c r="N378" s="1">
        <v>656</v>
      </c>
      <c r="O378" s="1">
        <v>729</v>
      </c>
      <c r="Q378" s="4">
        <v>0</v>
      </c>
      <c r="R378" s="4">
        <v>0</v>
      </c>
      <c r="S378" s="4">
        <v>201.4</v>
      </c>
      <c r="T378" s="4">
        <f t="shared" si="171"/>
        <v>213.32252351669081</v>
      </c>
      <c r="W378" s="3">
        <v>31.4</v>
      </c>
      <c r="X378" s="3">
        <v>17.338000000000001</v>
      </c>
      <c r="Y378" s="4">
        <f t="shared" si="168"/>
        <v>14.061999999999998</v>
      </c>
      <c r="Z378" s="3">
        <v>23.2</v>
      </c>
      <c r="AA378" s="3">
        <v>1.01</v>
      </c>
      <c r="AB378" s="4">
        <v>349.19</v>
      </c>
      <c r="AC378" s="3">
        <v>51.1</v>
      </c>
      <c r="AD378" s="8">
        <v>9.5299999999999994</v>
      </c>
      <c r="AE378" s="8">
        <v>5.23</v>
      </c>
      <c r="AF378" s="3">
        <v>1.86</v>
      </c>
      <c r="AG378" s="3">
        <v>9.6</v>
      </c>
      <c r="AH378" s="2">
        <v>6.7000000000000004E-2</v>
      </c>
      <c r="AI378" s="2">
        <v>0.14599999999999999</v>
      </c>
      <c r="AJ378" s="3" t="s">
        <v>159</v>
      </c>
      <c r="AN378" s="1">
        <f t="shared" si="169"/>
        <v>942.55200000000002</v>
      </c>
      <c r="AO378" s="1">
        <f>W378*J378*0.012</f>
        <v>146.952</v>
      </c>
      <c r="AP378" s="1">
        <f>Z378*J378*0.012</f>
        <v>108.57600000000001</v>
      </c>
      <c r="AQ378" s="1">
        <f>AA378*J378*0.012</f>
        <v>4.7267999999999999</v>
      </c>
      <c r="AR378" s="1">
        <f>AB378*J378*0.012</f>
        <v>1634.2092</v>
      </c>
      <c r="AS378" s="1">
        <f t="shared" si="170"/>
        <v>0</v>
      </c>
      <c r="AU378" s="13"/>
      <c r="AV378" s="13"/>
    </row>
    <row r="379" spans="1:49" x14ac:dyDescent="0.3">
      <c r="A379" s="5">
        <v>45098</v>
      </c>
      <c r="B379" s="12" t="s">
        <v>65</v>
      </c>
      <c r="C379" s="26" t="s">
        <v>147</v>
      </c>
      <c r="D379">
        <v>60151</v>
      </c>
      <c r="E379" t="s">
        <v>23</v>
      </c>
      <c r="F379" s="11">
        <v>40.660511</v>
      </c>
      <c r="G379" s="11">
        <v>-79.035275999999996</v>
      </c>
      <c r="H379" t="s">
        <v>93</v>
      </c>
      <c r="J379" s="1">
        <v>21</v>
      </c>
      <c r="K379" t="s">
        <v>96</v>
      </c>
      <c r="L379" s="2">
        <v>2.79</v>
      </c>
      <c r="M379" s="2">
        <v>2.8</v>
      </c>
      <c r="N379" s="1">
        <v>1837</v>
      </c>
      <c r="O379" s="1">
        <v>2100</v>
      </c>
      <c r="P379" s="3">
        <v>16.399999999999999</v>
      </c>
      <c r="Q379" s="4">
        <v>0</v>
      </c>
      <c r="R379" s="6">
        <v>0</v>
      </c>
      <c r="S379" s="40">
        <v>893.4</v>
      </c>
      <c r="T379" s="4">
        <f>(X379*1.79+Y379*2.68+5.56*Z379+1.82*AA379+50000*(10^-L379)-R379)</f>
        <v>337.96223486794639</v>
      </c>
      <c r="U379" s="6"/>
      <c r="V379" s="6"/>
      <c r="W379" s="8">
        <v>68.3</v>
      </c>
      <c r="X379" s="8">
        <v>6.1890000000000001</v>
      </c>
      <c r="Y379" s="4">
        <f t="shared" ref="Y379:Y380" si="172">IF(W379-X379&lt;0,0,W379-X379)</f>
        <v>62.110999999999997</v>
      </c>
      <c r="Z379" s="8">
        <v>12.27</v>
      </c>
      <c r="AA379" s="8">
        <v>6.1070000000000002</v>
      </c>
      <c r="AB379" s="40">
        <v>1523.7</v>
      </c>
      <c r="AC379" s="6">
        <v>192.4</v>
      </c>
      <c r="AD379" s="6">
        <v>31.47</v>
      </c>
      <c r="AE379" s="6">
        <v>12.08</v>
      </c>
      <c r="AF379" s="6">
        <v>2.7</v>
      </c>
      <c r="AG379" s="6">
        <v>16.399999999999999</v>
      </c>
      <c r="AH379" s="6">
        <v>0.36599999999999999</v>
      </c>
      <c r="AI379" s="41">
        <v>0.86</v>
      </c>
      <c r="AJ379" s="6">
        <v>0.2</v>
      </c>
      <c r="AK379" s="6"/>
      <c r="AL379" s="6"/>
      <c r="AN379" s="1">
        <f t="shared" si="169"/>
        <v>225.13679999999997</v>
      </c>
      <c r="AO379" s="1">
        <f t="shared" ref="AO379:AO380" si="173">W379*J379*0.012</f>
        <v>17.211600000000001</v>
      </c>
      <c r="AP379" s="1">
        <f>Z379*J379*0.012</f>
        <v>3.0920400000000003</v>
      </c>
      <c r="AQ379" s="1">
        <f t="shared" ref="AQ379:AQ380" si="174">AA379*J379*0.012</f>
        <v>1.5389640000000002</v>
      </c>
      <c r="AR379" s="1">
        <f t="shared" ref="AR379:AR380" si="175">AB379*J379*0.012</f>
        <v>383.97239999999999</v>
      </c>
      <c r="AS379" s="1">
        <f t="shared" si="170"/>
        <v>0</v>
      </c>
      <c r="AU379" s="13"/>
      <c r="AV379" s="13"/>
    </row>
    <row r="380" spans="1:49" x14ac:dyDescent="0.3">
      <c r="A380" s="5">
        <v>45169</v>
      </c>
      <c r="B380" s="12" t="s">
        <v>65</v>
      </c>
      <c r="C380" s="26" t="s">
        <v>147</v>
      </c>
      <c r="D380">
        <v>60151</v>
      </c>
      <c r="E380" t="s">
        <v>23</v>
      </c>
      <c r="F380" s="11">
        <v>40.660511</v>
      </c>
      <c r="G380" s="11">
        <v>-79.035275999999996</v>
      </c>
      <c r="H380" t="s">
        <v>93</v>
      </c>
      <c r="J380" s="1">
        <v>58</v>
      </c>
      <c r="K380" t="s">
        <v>96</v>
      </c>
      <c r="L380" s="2">
        <v>2.64</v>
      </c>
      <c r="M380" s="2">
        <v>3</v>
      </c>
      <c r="N380" s="1">
        <v>1230</v>
      </c>
      <c r="O380" s="1">
        <v>1238</v>
      </c>
      <c r="P380" s="3">
        <v>15.6</v>
      </c>
      <c r="Q380" s="4">
        <v>0</v>
      </c>
      <c r="R380" s="4">
        <v>0</v>
      </c>
      <c r="S380" s="4">
        <v>411.2</v>
      </c>
      <c r="T380" s="4">
        <f>(X380*1.79+Y380*2.68+5.56*Z380+1.82*AA380+50000*(10^-L380)-R380)</f>
        <v>519.77337263838854</v>
      </c>
      <c r="W380" s="3">
        <v>59.8</v>
      </c>
      <c r="X380" s="3">
        <v>19.268999999999998</v>
      </c>
      <c r="Y380" s="4">
        <f t="shared" si="172"/>
        <v>40.530999999999999</v>
      </c>
      <c r="Z380" s="3">
        <v>46.4</v>
      </c>
      <c r="AA380" s="3">
        <v>2.27</v>
      </c>
      <c r="AB380" s="4">
        <v>692.66</v>
      </c>
      <c r="AC380" s="6">
        <v>94.5</v>
      </c>
      <c r="AD380" s="6">
        <v>16.3</v>
      </c>
      <c r="AE380" s="8">
        <v>6.26</v>
      </c>
      <c r="AF380" s="6">
        <v>2.9</v>
      </c>
      <c r="AG380" s="6">
        <v>9.1999999999999993</v>
      </c>
      <c r="AH380" s="2">
        <v>0.127</v>
      </c>
      <c r="AI380" s="2">
        <v>0.27100000000000002</v>
      </c>
      <c r="AJ380" s="3">
        <v>0.2</v>
      </c>
      <c r="AN380" s="1">
        <f t="shared" si="169"/>
        <v>286.1952</v>
      </c>
      <c r="AO380" s="1">
        <f t="shared" si="173"/>
        <v>41.620799999999996</v>
      </c>
      <c r="AP380" s="1">
        <f t="shared" ref="AP380" si="176">Z380*J380*0.012</f>
        <v>32.294399999999996</v>
      </c>
      <c r="AQ380" s="1">
        <f t="shared" si="174"/>
        <v>1.57992</v>
      </c>
      <c r="AR380" s="1">
        <f t="shared" si="175"/>
        <v>482.09136000000001</v>
      </c>
      <c r="AS380" s="1">
        <f t="shared" si="170"/>
        <v>0</v>
      </c>
      <c r="AU380" s="13"/>
      <c r="AV380" s="13"/>
    </row>
    <row r="381" spans="1:49" s="7" customFormat="1" x14ac:dyDescent="0.3">
      <c r="A381" s="45" t="s">
        <v>144</v>
      </c>
      <c r="B381" s="46"/>
      <c r="F381" s="47"/>
      <c r="G381" s="47"/>
      <c r="I381" s="15"/>
      <c r="J381" s="15">
        <f>AVERAGE(J375:J380)</f>
        <v>164.73333333333332</v>
      </c>
      <c r="L381" s="15">
        <f>AVERAGE(L375:L380)</f>
        <v>3.2516666666666669</v>
      </c>
      <c r="M381" s="15">
        <f>AVERAGE(M375:M379)</f>
        <v>3.3</v>
      </c>
      <c r="N381" s="20">
        <f>AVERAGE(N375:N380)</f>
        <v>1161.9666666666667</v>
      </c>
      <c r="O381" s="20">
        <f t="shared" ref="O381:S381" si="177">AVERAGE(O375:O380)</f>
        <v>1246.1666666666667</v>
      </c>
      <c r="P381" s="32">
        <f t="shared" si="177"/>
        <v>14.566666666666665</v>
      </c>
      <c r="Q381" s="19">
        <f t="shared" si="177"/>
        <v>0</v>
      </c>
      <c r="R381" s="19">
        <f t="shared" si="177"/>
        <v>0</v>
      </c>
      <c r="S381" s="19">
        <f t="shared" si="177"/>
        <v>450.09999999999997</v>
      </c>
      <c r="T381" s="19">
        <f>AVERAGE(T375:T379)</f>
        <v>364.96593095129265</v>
      </c>
      <c r="U381" s="15">
        <f>AVERAGE(U375:U379)</f>
        <v>8.7100000000000009</v>
      </c>
      <c r="V381" s="15">
        <f>AVERAGE(V375:V379)</f>
        <v>81</v>
      </c>
      <c r="W381" s="19">
        <f>AVERAGE(W375:W380)</f>
        <v>53.50333333333333</v>
      </c>
      <c r="X381" s="19">
        <f t="shared" ref="X381:AA381" si="178">AVERAGE(X375:X380)</f>
        <v>19.4085</v>
      </c>
      <c r="Y381" s="19"/>
      <c r="Z381" s="19">
        <f t="shared" si="178"/>
        <v>37.748333333333335</v>
      </c>
      <c r="AA381" s="32">
        <f t="shared" si="178"/>
        <v>2.6873333333333331</v>
      </c>
      <c r="AB381" s="19">
        <f>AVERAGE(AB375:AB380)</f>
        <v>879.54599999999994</v>
      </c>
      <c r="AC381" s="32">
        <f>AVERAGE(AC375:AC380)</f>
        <v>100.33</v>
      </c>
      <c r="AD381" s="32">
        <f t="shared" ref="AD381:AG381" si="179">AVERAGE(AD375:AD380)</f>
        <v>17.184999999999999</v>
      </c>
      <c r="AE381" s="32">
        <f t="shared" si="179"/>
        <v>7.3316666666666661</v>
      </c>
      <c r="AF381" s="32">
        <f t="shared" si="179"/>
        <v>2.4916666666666667</v>
      </c>
      <c r="AG381" s="32">
        <f t="shared" si="179"/>
        <v>11.266666666666666</v>
      </c>
      <c r="AH381" s="15">
        <f>AVERAGE(AH375:AH379)</f>
        <v>0.20124999999999998</v>
      </c>
      <c r="AI381" s="15">
        <f>AVERAGE(AI375:AI379)</f>
        <v>0.39119999999999999</v>
      </c>
      <c r="AJ381" s="32">
        <f>AVERAGE(AJ375:AJ379)</f>
        <v>0.2</v>
      </c>
      <c r="AK381" s="32"/>
      <c r="AL381" s="32"/>
      <c r="AM381" s="32"/>
      <c r="AN381" s="32">
        <f t="shared" ref="AN381:AQ381" si="180">AVERAGE(AN375:AN380)</f>
        <v>492.49111999999997</v>
      </c>
      <c r="AO381" s="32">
        <f t="shared" si="180"/>
        <v>72.224839999999986</v>
      </c>
      <c r="AP381" s="32">
        <f t="shared" si="180"/>
        <v>54.865860000000005</v>
      </c>
      <c r="AQ381" s="32">
        <f t="shared" si="180"/>
        <v>2.7871920000000006</v>
      </c>
      <c r="AR381" s="32">
        <f>AVERAGE(AR375:AR380)</f>
        <v>850.34457600000007</v>
      </c>
      <c r="AS381" s="32">
        <f t="shared" ref="AS381" si="181">AVERAGE(AS375:AS379)</f>
        <v>0</v>
      </c>
      <c r="AU381" s="48"/>
      <c r="AV381" s="48"/>
    </row>
    <row r="382" spans="1:49" x14ac:dyDescent="0.3">
      <c r="F382" s="11"/>
      <c r="G382" s="11"/>
      <c r="AU382" s="13"/>
      <c r="AV382" s="13"/>
    </row>
    <row r="383" spans="1:49" x14ac:dyDescent="0.3">
      <c r="A383" s="5">
        <v>31720</v>
      </c>
      <c r="C383" t="s">
        <v>190</v>
      </c>
      <c r="E383" t="s">
        <v>21</v>
      </c>
      <c r="F383" s="11"/>
      <c r="G383" s="11"/>
      <c r="H383" t="s">
        <v>178</v>
      </c>
      <c r="J383" s="1">
        <v>16606.8</v>
      </c>
      <c r="M383" s="2">
        <v>5.3</v>
      </c>
      <c r="R383" s="4" t="s">
        <v>172</v>
      </c>
      <c r="W383" s="3">
        <v>5.0199999999999996</v>
      </c>
      <c r="X383" s="3">
        <v>1.77</v>
      </c>
      <c r="Z383" s="3" t="s">
        <v>173</v>
      </c>
      <c r="AA383" s="22">
        <v>0.83</v>
      </c>
      <c r="AB383" s="4" t="s">
        <v>172</v>
      </c>
      <c r="AD383" s="8"/>
      <c r="AE383" s="8"/>
      <c r="AU383" s="13"/>
      <c r="AV383" s="13"/>
    </row>
    <row r="384" spans="1:49" x14ac:dyDescent="0.3">
      <c r="A384" s="5">
        <v>31908</v>
      </c>
      <c r="C384" t="s">
        <v>190</v>
      </c>
      <c r="E384" t="s">
        <v>21</v>
      </c>
      <c r="F384" s="11"/>
      <c r="G384" s="11"/>
      <c r="H384" t="s">
        <v>178</v>
      </c>
      <c r="J384" s="1">
        <v>26032.2</v>
      </c>
      <c r="M384" s="2">
        <v>5.8</v>
      </c>
      <c r="R384" s="4" t="s">
        <v>172</v>
      </c>
      <c r="W384" s="3">
        <v>3.59</v>
      </c>
      <c r="X384" s="3">
        <v>1.4</v>
      </c>
      <c r="Z384" s="3">
        <v>2.09</v>
      </c>
      <c r="AA384" s="22">
        <v>0.48</v>
      </c>
      <c r="AB384" s="4">
        <v>140</v>
      </c>
      <c r="AD384" s="8"/>
      <c r="AE384" s="8"/>
      <c r="AU384" s="13"/>
      <c r="AV384" s="13"/>
    </row>
    <row r="385" spans="1:48" x14ac:dyDescent="0.3">
      <c r="A385" s="5">
        <v>32069</v>
      </c>
      <c r="C385" t="s">
        <v>190</v>
      </c>
      <c r="E385" t="s">
        <v>21</v>
      </c>
      <c r="F385" s="11"/>
      <c r="G385" s="11"/>
      <c r="H385" t="s">
        <v>178</v>
      </c>
      <c r="J385" s="1">
        <v>8527.7999999999993</v>
      </c>
      <c r="M385" s="2">
        <v>6.5</v>
      </c>
      <c r="R385" s="4" t="s">
        <v>172</v>
      </c>
      <c r="W385" s="3">
        <v>1.8</v>
      </c>
      <c r="X385" s="3">
        <v>0.96</v>
      </c>
      <c r="Z385" s="3">
        <v>1</v>
      </c>
      <c r="AA385" s="22">
        <v>0.73</v>
      </c>
      <c r="AB385" s="4" t="s">
        <v>172</v>
      </c>
      <c r="AD385" s="8"/>
      <c r="AE385" s="8"/>
      <c r="AU385" s="13"/>
      <c r="AV385" s="13"/>
    </row>
    <row r="386" spans="1:48" x14ac:dyDescent="0.3">
      <c r="A386" s="5">
        <v>32295</v>
      </c>
      <c r="C386" t="s">
        <v>190</v>
      </c>
      <c r="E386" t="s">
        <v>21</v>
      </c>
      <c r="F386" s="11"/>
      <c r="G386" s="11"/>
      <c r="H386" t="s">
        <v>178</v>
      </c>
      <c r="J386" s="1">
        <v>10323.1</v>
      </c>
      <c r="M386" s="2">
        <v>6.6</v>
      </c>
      <c r="R386" s="4" t="s">
        <v>172</v>
      </c>
      <c r="W386" s="3">
        <v>1.94</v>
      </c>
      <c r="X386" s="3">
        <v>1.08</v>
      </c>
      <c r="Z386" s="3">
        <v>0.9</v>
      </c>
      <c r="AA386" s="22">
        <v>0.54</v>
      </c>
      <c r="AB386" s="4" t="s">
        <v>172</v>
      </c>
      <c r="AD386" s="8"/>
      <c r="AE386" s="8"/>
      <c r="AU386" s="13"/>
      <c r="AV386" s="13"/>
    </row>
    <row r="387" spans="1:48" x14ac:dyDescent="0.3">
      <c r="A387" s="5">
        <v>32372</v>
      </c>
      <c r="C387" t="s">
        <v>190</v>
      </c>
      <c r="E387" t="s">
        <v>21</v>
      </c>
      <c r="F387" s="11"/>
      <c r="G387" s="11"/>
      <c r="H387" t="s">
        <v>178</v>
      </c>
      <c r="J387" s="1">
        <v>2289</v>
      </c>
      <c r="M387" s="2">
        <v>5.2</v>
      </c>
      <c r="R387" s="4" t="s">
        <v>172</v>
      </c>
      <c r="W387" s="3">
        <v>0.24</v>
      </c>
      <c r="X387" s="3">
        <v>0.18</v>
      </c>
      <c r="Z387" s="3">
        <v>0.5</v>
      </c>
      <c r="AA387" s="22">
        <v>1.07</v>
      </c>
      <c r="AB387" s="4" t="s">
        <v>172</v>
      </c>
      <c r="AD387" s="8"/>
      <c r="AE387" s="8"/>
      <c r="AU387" s="13"/>
      <c r="AV387" s="13"/>
    </row>
    <row r="388" spans="1:48" x14ac:dyDescent="0.3">
      <c r="A388" s="5">
        <v>36292</v>
      </c>
      <c r="C388" t="s">
        <v>190</v>
      </c>
      <c r="E388" t="s">
        <v>21</v>
      </c>
      <c r="F388" s="11"/>
      <c r="G388" s="11"/>
      <c r="H388" t="s">
        <v>180</v>
      </c>
      <c r="J388" s="1" t="s">
        <v>172</v>
      </c>
      <c r="M388" s="2">
        <v>7</v>
      </c>
      <c r="R388" s="4">
        <v>74</v>
      </c>
      <c r="W388" s="3">
        <v>1.88</v>
      </c>
      <c r="X388" s="3" t="s">
        <v>172</v>
      </c>
      <c r="Z388" s="3">
        <v>0.39500000000000002</v>
      </c>
      <c r="AA388" s="22">
        <v>1.89</v>
      </c>
      <c r="AB388" s="4">
        <v>180</v>
      </c>
      <c r="AD388" s="8"/>
      <c r="AE388" s="8"/>
      <c r="AU388" s="13"/>
      <c r="AV388" s="13"/>
    </row>
    <row r="389" spans="1:48" x14ac:dyDescent="0.3">
      <c r="A389" s="5">
        <v>37371</v>
      </c>
      <c r="C389" t="s">
        <v>190</v>
      </c>
      <c r="E389" t="s">
        <v>21</v>
      </c>
      <c r="F389" s="11"/>
      <c r="G389" s="11"/>
      <c r="H389" t="s">
        <v>180</v>
      </c>
      <c r="J389" s="14" t="s">
        <v>172</v>
      </c>
      <c r="M389" s="2">
        <v>6.5</v>
      </c>
      <c r="R389" s="4">
        <v>40</v>
      </c>
      <c r="W389" s="3">
        <v>3.02</v>
      </c>
      <c r="X389" s="3" t="s">
        <v>172</v>
      </c>
      <c r="Z389" s="3">
        <v>0.40500000000000003</v>
      </c>
      <c r="AA389" s="22">
        <v>2.11</v>
      </c>
      <c r="AB389" s="4">
        <v>149</v>
      </c>
      <c r="AD389" s="8"/>
      <c r="AE389" s="8"/>
      <c r="AU389" s="13"/>
      <c r="AV389" s="13"/>
    </row>
    <row r="390" spans="1:48" x14ac:dyDescent="0.3">
      <c r="A390" s="5">
        <v>37457</v>
      </c>
      <c r="C390" t="s">
        <v>190</v>
      </c>
      <c r="E390" t="s">
        <v>21</v>
      </c>
      <c r="F390" s="11"/>
      <c r="G390" s="11"/>
      <c r="H390" t="s">
        <v>180</v>
      </c>
      <c r="J390" s="14" t="s">
        <v>172</v>
      </c>
      <c r="M390" s="2">
        <v>8</v>
      </c>
      <c r="R390" s="4">
        <v>128</v>
      </c>
      <c r="W390" s="3">
        <v>0.48499999999999999</v>
      </c>
      <c r="X390" s="3" t="s">
        <v>172</v>
      </c>
      <c r="Z390" s="3">
        <v>0.32800000000000001</v>
      </c>
      <c r="AA390" s="22">
        <v>0.69</v>
      </c>
      <c r="AB390" s="4">
        <v>221</v>
      </c>
      <c r="AD390" s="8"/>
      <c r="AE390" s="8"/>
      <c r="AU390" s="13"/>
      <c r="AV390" s="13"/>
    </row>
    <row r="391" spans="1:48" x14ac:dyDescent="0.3">
      <c r="A391" s="5">
        <v>37565</v>
      </c>
      <c r="C391" t="s">
        <v>190</v>
      </c>
      <c r="E391" t="s">
        <v>21</v>
      </c>
      <c r="F391" s="11"/>
      <c r="G391" s="11"/>
      <c r="H391" t="s">
        <v>180</v>
      </c>
      <c r="J391" s="14" t="s">
        <v>172</v>
      </c>
      <c r="M391" s="2">
        <v>7.1</v>
      </c>
      <c r="R391" s="4">
        <v>74</v>
      </c>
      <c r="W391" s="3">
        <v>1.78</v>
      </c>
      <c r="X391" s="3" t="s">
        <v>172</v>
      </c>
      <c r="Z391" s="3">
        <v>0.45900000000000002</v>
      </c>
      <c r="AA391" s="22">
        <v>1.07</v>
      </c>
      <c r="AB391" s="4">
        <v>149.69999999999999</v>
      </c>
      <c r="AD391" s="8"/>
      <c r="AE391" s="8"/>
      <c r="AU391" s="13"/>
      <c r="AV391" s="13"/>
    </row>
    <row r="392" spans="1:48" x14ac:dyDescent="0.3">
      <c r="A392" s="5">
        <v>37925</v>
      </c>
      <c r="C392" t="s">
        <v>190</v>
      </c>
      <c r="E392" t="s">
        <v>21</v>
      </c>
      <c r="F392" s="11"/>
      <c r="G392" s="11"/>
      <c r="H392" t="s">
        <v>180</v>
      </c>
      <c r="J392" s="14" t="s">
        <v>172</v>
      </c>
      <c r="M392" s="2">
        <v>7.4</v>
      </c>
      <c r="R392" s="4">
        <v>57.2</v>
      </c>
      <c r="W392" s="3">
        <v>1.3</v>
      </c>
      <c r="X392" s="3" t="s">
        <v>172</v>
      </c>
      <c r="Z392" s="3">
        <v>0.95100000000000007</v>
      </c>
      <c r="AA392" s="22">
        <v>0.318</v>
      </c>
      <c r="AB392" s="4">
        <v>97.9</v>
      </c>
      <c r="AD392" s="8"/>
      <c r="AE392" s="8"/>
      <c r="AU392" s="13"/>
      <c r="AV392" s="13"/>
    </row>
    <row r="393" spans="1:48" x14ac:dyDescent="0.3">
      <c r="A393" s="5">
        <v>44845</v>
      </c>
      <c r="B393" s="12" t="s">
        <v>20</v>
      </c>
      <c r="C393" t="s">
        <v>146</v>
      </c>
      <c r="D393">
        <v>60149</v>
      </c>
      <c r="E393" t="s">
        <v>21</v>
      </c>
      <c r="F393" s="11">
        <v>40.645299999999999</v>
      </c>
      <c r="G393" s="11">
        <v>-79.036760000000001</v>
      </c>
      <c r="H393" t="s">
        <v>90</v>
      </c>
      <c r="I393" s="2">
        <v>0.7</v>
      </c>
      <c r="J393" s="1">
        <v>8575</v>
      </c>
      <c r="K393" t="s">
        <v>96</v>
      </c>
      <c r="L393" s="2">
        <v>7.81</v>
      </c>
      <c r="M393" s="2">
        <v>7.4</v>
      </c>
      <c r="N393" s="1">
        <v>475</v>
      </c>
      <c r="O393" s="1">
        <v>479</v>
      </c>
      <c r="P393" s="3">
        <v>8.6</v>
      </c>
      <c r="Q393" s="4">
        <v>76.5</v>
      </c>
      <c r="R393" s="4">
        <v>68.599999999999994</v>
      </c>
      <c r="S393" s="4">
        <v>-58.4</v>
      </c>
      <c r="T393" s="4" cm="1">
        <f t="array" ref="T393">_xlfn.IFS(L393&lt;=5,IF(ISNUMBER(X393)=TRUE,X393*1.79+AA393*1.8+Z393*5.56+50000*(10^-L393)-Q393,1.79+AA393*1.8+Z393*5.56+50000*(10^-L393)-Q393),L393&gt;5,IF(ISNUMBER(X393)=TRUE,X393*1.79+AA393*1.8+50000*(10^-L393)-Q393,AA393*1.8+50000*(10^-L393)-Q393))</f>
        <v>-75.57540559169054</v>
      </c>
      <c r="U393" s="2">
        <v>11.3</v>
      </c>
      <c r="V393" s="2">
        <v>97</v>
      </c>
      <c r="W393" s="3">
        <v>1.095</v>
      </c>
      <c r="X393" s="3">
        <v>0.13800000000000001</v>
      </c>
      <c r="Z393" s="3">
        <v>0.82499999999999996</v>
      </c>
      <c r="AA393" s="3">
        <v>0.376</v>
      </c>
      <c r="AB393" s="4">
        <v>154.19999999999999</v>
      </c>
      <c r="AC393" s="3">
        <v>46.14</v>
      </c>
      <c r="AD393" s="8">
        <v>13.96</v>
      </c>
      <c r="AE393" s="8">
        <v>28.33</v>
      </c>
      <c r="AF393" s="3">
        <v>2.04</v>
      </c>
      <c r="AG393" s="3">
        <v>10.6</v>
      </c>
      <c r="AH393" s="2" t="s">
        <v>161</v>
      </c>
      <c r="AI393" s="2" t="s">
        <v>162</v>
      </c>
      <c r="AJ393" s="3" t="s">
        <v>159</v>
      </c>
      <c r="AN393" s="1">
        <f>S393*J393*0.012</f>
        <v>-6009.36</v>
      </c>
      <c r="AO393" s="1">
        <f>W393*J393*0.012</f>
        <v>112.6755</v>
      </c>
      <c r="AP393" s="1">
        <f>Z393*J393*0.012</f>
        <v>84.892499999999998</v>
      </c>
      <c r="AQ393" s="1">
        <f>AA393*J393*0.012</f>
        <v>38.690399999999997</v>
      </c>
      <c r="AR393" s="1">
        <f>AB393*J393*0.012</f>
        <v>15867.18</v>
      </c>
      <c r="AS393" s="1">
        <f t="shared" si="170"/>
        <v>7058.94</v>
      </c>
      <c r="AU393" s="13" t="str">
        <f>CONCATENATE(TEXT(ROUNDDOWN(ABS(F393),0),"00"),"° ",TEXT(ROUNDDOWN(ABS((F393-ROUNDDOWN(F393,0))*60),0),"00"),"' ",TEXT(TRUNC((ABS((F393-ROUNDDOWN(F393,0))*60)-ROUNDDOWN(ABS((F393-ROUNDDOWN(F393,0))*60),0))*60,2),"00.00"),"""",IF(F393&lt;0," S"," N"))</f>
        <v>40° 38' 43.07" N</v>
      </c>
      <c r="AV393" s="13" t="str">
        <f>CONCATENATE(TEXT(ROUNDDOWN(ABS(G393),0),"000"),"° ",TEXT(ROUNDDOWN(ABS((G393-ROUNDDOWN(G393,0))*60),0),"00"),"' ",TEXT(TRUNC((ABS((G393-ROUNDDOWN(G393,0))*60)-ROUNDDOWN(ABS((G393-ROUNDDOWN(G393,0))*60),0))*60,2),"00.00"),"""",IF(G393&lt;0," W"," E"))</f>
        <v>079° 02' 12.33" W</v>
      </c>
    </row>
    <row r="394" spans="1:48" x14ac:dyDescent="0.3">
      <c r="A394" s="5">
        <v>44903</v>
      </c>
      <c r="B394" s="12" t="s">
        <v>20</v>
      </c>
      <c r="C394" t="s">
        <v>146</v>
      </c>
      <c r="D394">
        <v>60149</v>
      </c>
      <c r="E394" t="s">
        <v>21</v>
      </c>
      <c r="F394" s="11">
        <v>40.645299999999999</v>
      </c>
      <c r="G394" s="11">
        <v>-79.036760000000001</v>
      </c>
      <c r="H394" t="s">
        <v>90</v>
      </c>
      <c r="I394" s="2">
        <v>0.7</v>
      </c>
      <c r="J394" s="1">
        <v>33631</v>
      </c>
      <c r="K394" t="s">
        <v>96</v>
      </c>
      <c r="L394" s="2">
        <v>7.17</v>
      </c>
      <c r="M394" s="2">
        <v>7.2</v>
      </c>
      <c r="N394" s="1">
        <v>282.5</v>
      </c>
      <c r="O394" s="1">
        <v>288</v>
      </c>
      <c r="P394" s="3">
        <v>7.8</v>
      </c>
      <c r="Q394" s="4">
        <f>AVERAGE(45.4,43.1)</f>
        <v>44.25</v>
      </c>
      <c r="R394" s="4">
        <v>48.2</v>
      </c>
      <c r="S394" s="4">
        <v>-34.799999999999997</v>
      </c>
      <c r="T394" s="4" cm="1">
        <f t="array" ref="T394">_xlfn.IFS(L394&lt;=5,IF(ISNUMBER(X394)=TRUE,X394*1.79+AA394*1.8+Z394*5.56+50000*(10^-L394)-Q394,1.79+AA394*1.8+Z394*5.56+50000*(10^-L394)-Q394),L394&gt;5,IF(ISNUMBER(X394)=TRUE,X394*1.79+AA394*1.8+50000*(10^-L394)-Q394,AA394*1.8+50000*(10^-L394)-Q394))</f>
        <v>-43.63246958512304</v>
      </c>
      <c r="W394" s="3">
        <v>1.1100000000000001</v>
      </c>
      <c r="X394" s="3">
        <v>0.14499999999999999</v>
      </c>
      <c r="Z394" s="3">
        <v>0.74</v>
      </c>
      <c r="AA394" s="3">
        <v>0.19700000000000001</v>
      </c>
      <c r="AC394" s="3">
        <v>28.9</v>
      </c>
      <c r="AD394" s="8">
        <v>8.39</v>
      </c>
      <c r="AE394" s="8">
        <v>13.4</v>
      </c>
      <c r="AF394" s="3">
        <v>1.66</v>
      </c>
      <c r="AG394" s="3">
        <v>9.3000000000000007</v>
      </c>
      <c r="AH394" s="2" t="s">
        <v>161</v>
      </c>
      <c r="AI394" s="2" t="s">
        <v>162</v>
      </c>
      <c r="AJ394" s="3" t="s">
        <v>159</v>
      </c>
      <c r="AN394" s="1">
        <f>S394*J394*0.012</f>
        <v>-14044.305599999998</v>
      </c>
      <c r="AO394" s="1">
        <f>W394*J394*0.012</f>
        <v>447.96492000000006</v>
      </c>
      <c r="AP394" s="1">
        <f>Z394*J394*0.012</f>
        <v>298.64328</v>
      </c>
      <c r="AQ394" s="1">
        <f>AA394*J394*0.012</f>
        <v>79.503684000000007</v>
      </c>
      <c r="AR394" s="1">
        <f>AB394*J394*0.012</f>
        <v>0</v>
      </c>
      <c r="AS394" s="1">
        <f t="shared" si="170"/>
        <v>19452.170399999999</v>
      </c>
      <c r="AU394" s="13"/>
      <c r="AV394" s="13"/>
    </row>
    <row r="395" spans="1:48" x14ac:dyDescent="0.3">
      <c r="A395" s="5">
        <v>44964</v>
      </c>
      <c r="B395" s="12" t="s">
        <v>20</v>
      </c>
      <c r="C395" t="s">
        <v>146</v>
      </c>
      <c r="D395">
        <v>60149</v>
      </c>
      <c r="E395" t="s">
        <v>21</v>
      </c>
      <c r="F395" s="11">
        <v>40.645299999999999</v>
      </c>
      <c r="G395" s="11">
        <v>-79.036760000000001</v>
      </c>
      <c r="H395" t="s">
        <v>218</v>
      </c>
      <c r="J395" s="1" t="s">
        <v>219</v>
      </c>
      <c r="L395" s="2">
        <v>7.46</v>
      </c>
      <c r="M395" s="2">
        <v>6.9</v>
      </c>
      <c r="N395" s="1">
        <v>342</v>
      </c>
      <c r="O395" s="1">
        <v>330</v>
      </c>
      <c r="R395" s="4">
        <v>46.6</v>
      </c>
      <c r="S395" s="4">
        <v>-33.799999999999997</v>
      </c>
      <c r="T395" s="4" cm="1">
        <f t="array" ref="T395">_xlfn.IFS(L395&lt;=5,IF(ISNUMBER(X395)=TRUE,X395*1.79+AA395*1.8+Z395*5.56+50000*(10^-L395)-R395,1.79+AA395*1.8+Z395*5.56+50000*(10^-L395)-R395),L395&gt;5,IF(ISNUMBER(X395)=TRUE,X395*1.79+AA395*1.8+50000*(10^-L395)-R395,AA395*1.8+50000*(10^-L395)-R395))</f>
        <v>-45.612846315747738</v>
      </c>
      <c r="W395" s="3">
        <v>1.377</v>
      </c>
      <c r="X395" s="3">
        <v>0.27800000000000002</v>
      </c>
      <c r="Z395" s="3">
        <v>0.91800000000000004</v>
      </c>
      <c r="AA395" s="3">
        <v>0.27100000000000002</v>
      </c>
      <c r="AB395" s="4">
        <v>98.18</v>
      </c>
      <c r="AC395" s="3">
        <v>32.86</v>
      </c>
      <c r="AD395" s="8">
        <v>10.15</v>
      </c>
      <c r="AE395" s="8">
        <v>15.87</v>
      </c>
      <c r="AF395" s="3">
        <v>1.69</v>
      </c>
      <c r="AG395" s="3">
        <v>9.8000000000000007</v>
      </c>
      <c r="AH395" s="2" t="s">
        <v>161</v>
      </c>
      <c r="AI395" s="2" t="s">
        <v>162</v>
      </c>
      <c r="AJ395" s="3" t="s">
        <v>159</v>
      </c>
      <c r="AU395" s="13"/>
      <c r="AV395" s="13"/>
    </row>
    <row r="396" spans="1:48" x14ac:dyDescent="0.3">
      <c r="A396" s="5">
        <v>45022</v>
      </c>
      <c r="B396" s="12" t="s">
        <v>18</v>
      </c>
      <c r="C396" t="s">
        <v>146</v>
      </c>
      <c r="D396">
        <v>60149</v>
      </c>
      <c r="E396" t="s">
        <v>21</v>
      </c>
      <c r="F396" s="11">
        <v>40.645299999999999</v>
      </c>
      <c r="G396" s="11">
        <v>-79.036760000000001</v>
      </c>
      <c r="H396" t="s">
        <v>256</v>
      </c>
      <c r="J396" s="1" t="s">
        <v>219</v>
      </c>
      <c r="L396" s="2">
        <v>7.29</v>
      </c>
      <c r="M396" s="2">
        <v>6.3</v>
      </c>
      <c r="N396" s="1">
        <v>293</v>
      </c>
      <c r="O396" s="1">
        <v>307</v>
      </c>
      <c r="Q396" s="4">
        <v>39</v>
      </c>
      <c r="R396" s="4">
        <v>42.6</v>
      </c>
      <c r="S396" s="4">
        <v>-29.4</v>
      </c>
      <c r="T396" s="4" cm="1">
        <f t="array" ref="T396">_xlfn.IFS(L396&lt;=5,IF(ISNUMBER(X396)=TRUE,X396*1.79+AA396*1.8+Z396*5.56+50000*(10^-L396)-Q396,1.79+AA396*1.8+Z396*5.56+50000*(10^-L396)-Q396),L396&gt;5,IF(ISNUMBER(X396)=TRUE,X396*1.79+AA396*1.8+50000*(10^-L396)-Q396,AA396*1.8+50000*(10^-L396)-Q396))</f>
        <v>-38.377715693080042</v>
      </c>
      <c r="W396" s="3">
        <v>1.43</v>
      </c>
      <c r="X396" s="3">
        <v>0.128</v>
      </c>
      <c r="Z396" s="3">
        <v>0.98</v>
      </c>
      <c r="AA396" s="3">
        <v>0.217</v>
      </c>
      <c r="AB396" s="4">
        <v>85.82</v>
      </c>
      <c r="AC396" s="3">
        <v>33.4</v>
      </c>
      <c r="AD396" s="8">
        <v>9.6999999999999993</v>
      </c>
      <c r="AE396" s="8">
        <v>13.5</v>
      </c>
      <c r="AF396" s="3">
        <v>1.65</v>
      </c>
      <c r="AG396" s="3">
        <v>9</v>
      </c>
      <c r="AH396" s="2" t="s">
        <v>161</v>
      </c>
      <c r="AI396" s="2" t="s">
        <v>162</v>
      </c>
      <c r="AJ396" s="3" t="s">
        <v>159</v>
      </c>
      <c r="AU396" s="13"/>
      <c r="AV396" s="13"/>
    </row>
    <row r="397" spans="1:48" x14ac:dyDescent="0.3">
      <c r="A397" s="5">
        <v>45098</v>
      </c>
      <c r="B397" s="12" t="s">
        <v>18</v>
      </c>
      <c r="C397" t="s">
        <v>146</v>
      </c>
      <c r="D397">
        <v>60149</v>
      </c>
      <c r="E397" t="s">
        <v>21</v>
      </c>
      <c r="F397" s="11">
        <v>40.645299999999999</v>
      </c>
      <c r="G397" s="11">
        <v>-79.036760000000001</v>
      </c>
      <c r="H397" t="s">
        <v>256</v>
      </c>
      <c r="J397" s="1">
        <v>6072</v>
      </c>
      <c r="K397" t="s">
        <v>96</v>
      </c>
      <c r="L397" s="2">
        <v>7.76</v>
      </c>
      <c r="M397" s="2">
        <v>7.7</v>
      </c>
      <c r="N397" s="1">
        <v>530</v>
      </c>
      <c r="O397" s="1">
        <v>526</v>
      </c>
      <c r="R397" s="40">
        <v>88.4</v>
      </c>
      <c r="S397" s="40">
        <v>-78.8</v>
      </c>
      <c r="T397" s="4" cm="1">
        <f t="array" ref="T397">_xlfn.IFS(L397&lt;=5,IF(ISNUMBER(X397)=TRUE,X397*1.79+AA397*1.8+Z397*5.56+50000*(10^-L397)-R397,1.79+AA397*1.8+Z397*5.56+50000*(10^-L397)-R397),L397&gt;5,IF(ISNUMBER(X397)=TRUE,X397*1.79+AA397*1.8+50000*(10^-L397)-R397,AA397*1.8+50000*(10^-L397)-R397))</f>
        <v>-87.892031099585637</v>
      </c>
      <c r="U397" s="6"/>
      <c r="V397" s="6"/>
      <c r="W397" s="8">
        <v>0.41599999999999998</v>
      </c>
      <c r="X397" s="8">
        <v>0.05</v>
      </c>
      <c r="Y397" s="8"/>
      <c r="Z397" s="8">
        <v>0.43099999999999999</v>
      </c>
      <c r="AA397" s="8">
        <v>0.23200000000000001</v>
      </c>
      <c r="AB397" s="40">
        <v>156.88</v>
      </c>
      <c r="AC397" s="8">
        <v>49.86</v>
      </c>
      <c r="AD397" s="6">
        <v>14.28</v>
      </c>
      <c r="AE397" s="8">
        <v>35.950000000000003</v>
      </c>
      <c r="AF397" s="8">
        <v>2.15</v>
      </c>
      <c r="AG397" s="6">
        <v>13.3</v>
      </c>
      <c r="AH397" s="6">
        <v>0.05</v>
      </c>
      <c r="AI397" s="41">
        <v>0.03</v>
      </c>
      <c r="AJ397" s="6">
        <v>0.2</v>
      </c>
      <c r="AK397" s="6"/>
      <c r="AL397" s="6"/>
      <c r="AN397" s="1">
        <f t="shared" ref="AN397:AN398" si="182">S397*J397*0.012</f>
        <v>-5741.6831999999995</v>
      </c>
      <c r="AO397" s="1">
        <f t="shared" ref="AO397:AO398" si="183">W397*J397*0.012</f>
        <v>30.311423999999999</v>
      </c>
      <c r="AP397" s="1">
        <f t="shared" ref="AP397:AP398" si="184">Z397*J397*0.012</f>
        <v>31.404384000000004</v>
      </c>
      <c r="AQ397" s="1">
        <f t="shared" ref="AQ397:AQ398" si="185">AA397*J397*0.012</f>
        <v>16.904448000000002</v>
      </c>
      <c r="AR397" s="1">
        <f t="shared" ref="AR397:AR398" si="186">AB397*J397*0.012</f>
        <v>11430.90432</v>
      </c>
      <c r="AS397" s="1">
        <f t="shared" si="170"/>
        <v>6441.1776000000009</v>
      </c>
      <c r="AU397" s="13"/>
      <c r="AV397" s="13"/>
    </row>
    <row r="398" spans="1:48" x14ac:dyDescent="0.3">
      <c r="A398" s="5">
        <v>45169</v>
      </c>
      <c r="B398" s="12" t="s">
        <v>18</v>
      </c>
      <c r="C398" t="s">
        <v>146</v>
      </c>
      <c r="D398">
        <v>60149</v>
      </c>
      <c r="E398" t="s">
        <v>21</v>
      </c>
      <c r="F398" s="11">
        <v>40.645299999999999</v>
      </c>
      <c r="G398" s="11">
        <v>-79.036760000000001</v>
      </c>
      <c r="H398" t="s">
        <v>256</v>
      </c>
      <c r="J398" s="1">
        <v>22148</v>
      </c>
      <c r="K398" t="s">
        <v>96</v>
      </c>
      <c r="L398" s="2">
        <v>7.57</v>
      </c>
      <c r="M398" s="2">
        <v>6.6</v>
      </c>
      <c r="N398" s="1">
        <v>381</v>
      </c>
      <c r="O398" s="1">
        <v>373</v>
      </c>
      <c r="R398" s="40">
        <v>56.4</v>
      </c>
      <c r="S398" s="6">
        <v>-39</v>
      </c>
      <c r="T398" s="4" cm="1">
        <f t="array" ref="T398">_xlfn.IFS(L398&lt;=5,IF(ISNUMBER(X398)=TRUE,X398*1.79+AA398*1.8+Z398*5.56+50000*(10^-L398)-R398,1.79+AA398*1.8+Z398*5.56+50000*(10^-L398)-R398),L398&gt;5,IF(ISNUMBER(X398)=TRUE,X398*1.79+AA398*1.8+50000*(10^-L398)-R398,AA398*1.8+50000*(10^-L398)-R398))</f>
        <v>-55.527564232598039</v>
      </c>
      <c r="U398" s="6"/>
      <c r="V398" s="6"/>
      <c r="W398" s="8">
        <v>1.22</v>
      </c>
      <c r="X398" s="8">
        <v>0.191</v>
      </c>
      <c r="Y398" s="8"/>
      <c r="Z398" s="8">
        <v>0.96699999999999997</v>
      </c>
      <c r="AA398" s="8">
        <v>0.29399999999999998</v>
      </c>
      <c r="AB398" s="40">
        <v>109.85</v>
      </c>
      <c r="AC398" s="6">
        <v>39.799999999999997</v>
      </c>
      <c r="AD398" s="6">
        <v>11.7</v>
      </c>
      <c r="AE398" s="6">
        <v>17.2</v>
      </c>
      <c r="AF398" s="6">
        <v>1.89</v>
      </c>
      <c r="AG398" s="6">
        <v>8.8000000000000007</v>
      </c>
      <c r="AH398" s="6">
        <v>0.05</v>
      </c>
      <c r="AI398" s="41">
        <v>0.03</v>
      </c>
      <c r="AJ398" s="6">
        <v>0.2</v>
      </c>
      <c r="AK398" s="6"/>
      <c r="AL398" s="6"/>
      <c r="AN398" s="1">
        <f t="shared" si="182"/>
        <v>-10365.264000000001</v>
      </c>
      <c r="AO398" s="1">
        <f t="shared" si="183"/>
        <v>324.24671999999998</v>
      </c>
      <c r="AP398" s="1">
        <f t="shared" si="184"/>
        <v>257.00539199999997</v>
      </c>
      <c r="AQ398" s="1">
        <f t="shared" si="185"/>
        <v>78.138143999999997</v>
      </c>
      <c r="AR398" s="1">
        <f t="shared" si="186"/>
        <v>29195.493599999998</v>
      </c>
      <c r="AS398" s="1">
        <f t="shared" si="170"/>
        <v>14989.766399999999</v>
      </c>
      <c r="AU398" s="13"/>
      <c r="AV398" s="13"/>
    </row>
    <row r="399" spans="1:48" s="7" customFormat="1" x14ac:dyDescent="0.3">
      <c r="A399" s="45" t="s">
        <v>144</v>
      </c>
      <c r="B399" s="46"/>
      <c r="F399" s="47"/>
      <c r="G399" s="47"/>
      <c r="I399" s="15"/>
      <c r="J399" s="20">
        <f>AVERAGE(J393:J398)</f>
        <v>17606.5</v>
      </c>
      <c r="L399" s="15">
        <f>AVERAGE(L393:L398)</f>
        <v>7.5100000000000007</v>
      </c>
      <c r="M399" s="15">
        <f>AVERAGE(M393:M398)</f>
        <v>7.0166666666666666</v>
      </c>
      <c r="N399" s="20">
        <f>AVERAGE(N393:N398)</f>
        <v>383.91666666666669</v>
      </c>
      <c r="O399" s="20">
        <f>AVERAGE(O393:O398)</f>
        <v>383.83333333333331</v>
      </c>
      <c r="P399" s="32">
        <f>AVERAGE(P393:P397)</f>
        <v>8.1999999999999993</v>
      </c>
      <c r="Q399" s="19">
        <f>AVERAGE(Q393:Q397)</f>
        <v>53.25</v>
      </c>
      <c r="R399" s="19">
        <f>AVERAGE(R393:R398)</f>
        <v>58.466666666666661</v>
      </c>
      <c r="S399" s="19">
        <f>AVERAGE(S393:S398)</f>
        <v>-45.699999999999996</v>
      </c>
      <c r="T399" s="19">
        <f>AVERAGE(T393:T397)</f>
        <v>-58.218093657045394</v>
      </c>
      <c r="U399" s="15">
        <f>AVERAGE(U393:U397)</f>
        <v>11.3</v>
      </c>
      <c r="V399" s="15">
        <f>AVERAGE(V393:V397)</f>
        <v>97</v>
      </c>
      <c r="W399" s="32">
        <f>AVERAGE(W393:W398)</f>
        <v>1.1079999999999999</v>
      </c>
      <c r="X399" s="32">
        <f t="shared" ref="X399:AA399" si="187">AVERAGE(X393:X398)</f>
        <v>0.15500000000000003</v>
      </c>
      <c r="Y399" s="32"/>
      <c r="Z399" s="32">
        <f t="shared" si="187"/>
        <v>0.81016666666666659</v>
      </c>
      <c r="AA399" s="32">
        <f t="shared" si="187"/>
        <v>0.26450000000000001</v>
      </c>
      <c r="AB399" s="19">
        <f>AVERAGE(AB393:AB398)</f>
        <v>120.98599999999999</v>
      </c>
      <c r="AC399" s="32">
        <f>AVERAGE(AC393:AC398)</f>
        <v>38.493333333333332</v>
      </c>
      <c r="AD399" s="32">
        <f t="shared" ref="AD399:AG399" si="188">AVERAGE(AD393:AD398)</f>
        <v>11.363333333333335</v>
      </c>
      <c r="AE399" s="32">
        <f t="shared" si="188"/>
        <v>20.708333333333332</v>
      </c>
      <c r="AF399" s="32">
        <f t="shared" si="188"/>
        <v>1.8466666666666669</v>
      </c>
      <c r="AG399" s="32">
        <f t="shared" si="188"/>
        <v>10.133333333333333</v>
      </c>
      <c r="AH399" s="15">
        <f>AVERAGE(AH393:AH397)</f>
        <v>0.05</v>
      </c>
      <c r="AI399" s="15">
        <f>AVERAGE(AI393:AI397)</f>
        <v>0.03</v>
      </c>
      <c r="AJ399" s="32">
        <f>AVERAGE(AJ393:AJ398)</f>
        <v>0.2</v>
      </c>
      <c r="AK399" s="32"/>
      <c r="AL399" s="32"/>
      <c r="AM399" s="32"/>
      <c r="AN399" s="32">
        <f>AVERAGE(AN393:AN398)</f>
        <v>-9040.1531999999988</v>
      </c>
      <c r="AO399" s="32">
        <f t="shared" ref="AO399:AS399" si="189">AVERAGE(AO393:AO398)</f>
        <v>228.79964100000001</v>
      </c>
      <c r="AP399" s="32">
        <f t="shared" si="189"/>
        <v>167.98638899999997</v>
      </c>
      <c r="AQ399" s="32">
        <f t="shared" si="189"/>
        <v>53.309168999999997</v>
      </c>
      <c r="AR399" s="19">
        <f t="shared" si="189"/>
        <v>14123.394479999999</v>
      </c>
      <c r="AS399" s="19">
        <f t="shared" si="189"/>
        <v>11985.5136</v>
      </c>
      <c r="AU399" s="48"/>
      <c r="AV399" s="48"/>
    </row>
    <row r="400" spans="1:48" x14ac:dyDescent="0.3">
      <c r="F400" s="11"/>
      <c r="G400" s="11"/>
      <c r="AD400" s="8"/>
      <c r="AE400" s="8"/>
      <c r="AU400" s="13"/>
      <c r="AV400" s="13"/>
    </row>
    <row r="401" spans="1:48" x14ac:dyDescent="0.3">
      <c r="A401" s="5">
        <v>36292</v>
      </c>
      <c r="C401" t="s">
        <v>191</v>
      </c>
      <c r="E401" t="s">
        <v>19</v>
      </c>
      <c r="F401" s="11"/>
      <c r="G401" s="11"/>
      <c r="H401" t="s">
        <v>180</v>
      </c>
      <c r="J401" s="9" t="s">
        <v>172</v>
      </c>
      <c r="M401" s="2">
        <v>6.3</v>
      </c>
      <c r="Q401" s="4">
        <v>15</v>
      </c>
      <c r="W401" s="3">
        <v>5.18</v>
      </c>
      <c r="X401" s="3">
        <v>2.4</v>
      </c>
      <c r="Z401" s="3">
        <v>2.62</v>
      </c>
      <c r="AA401" s="22">
        <v>1.55</v>
      </c>
      <c r="AB401" s="4">
        <v>208</v>
      </c>
      <c r="AD401" s="8"/>
      <c r="AE401" s="8"/>
      <c r="AU401" s="13"/>
      <c r="AV401" s="13"/>
    </row>
    <row r="402" spans="1:48" x14ac:dyDescent="0.3">
      <c r="A402" s="5">
        <v>37042</v>
      </c>
      <c r="C402" t="s">
        <v>202</v>
      </c>
      <c r="E402" t="s">
        <v>19</v>
      </c>
      <c r="F402" s="11"/>
      <c r="G402" s="11"/>
      <c r="H402" t="s">
        <v>203</v>
      </c>
      <c r="J402" s="9"/>
      <c r="M402" s="2">
        <v>6</v>
      </c>
      <c r="R402" s="4">
        <v>16.8</v>
      </c>
      <c r="W402" s="3">
        <v>7.15</v>
      </c>
      <c r="Z402" s="3">
        <v>0.99099999999999999</v>
      </c>
      <c r="AA402" s="22">
        <v>3.07</v>
      </c>
      <c r="AB402" s="4">
        <v>270.10000000000002</v>
      </c>
      <c r="AD402" s="8"/>
      <c r="AE402" s="8"/>
      <c r="AU402" s="13"/>
      <c r="AV402" s="13"/>
    </row>
    <row r="403" spans="1:48" x14ac:dyDescent="0.3">
      <c r="A403" s="5">
        <v>37071</v>
      </c>
      <c r="C403" t="s">
        <v>202</v>
      </c>
      <c r="E403" t="s">
        <v>19</v>
      </c>
      <c r="F403" s="11"/>
      <c r="G403" s="11"/>
      <c r="H403" t="s">
        <v>203</v>
      </c>
      <c r="J403" s="9"/>
      <c r="M403" s="2">
        <v>5.8</v>
      </c>
      <c r="R403" s="4">
        <v>10.8</v>
      </c>
      <c r="W403" s="3">
        <v>10.3</v>
      </c>
      <c r="Z403" s="3">
        <v>1.1599999999999999</v>
      </c>
      <c r="AA403" s="22">
        <v>4.03</v>
      </c>
      <c r="AB403" s="4">
        <v>307.7</v>
      </c>
      <c r="AD403" s="8"/>
      <c r="AE403" s="8"/>
      <c r="AU403" s="13"/>
      <c r="AV403" s="13"/>
    </row>
    <row r="404" spans="1:48" x14ac:dyDescent="0.3">
      <c r="A404" s="5">
        <v>37371</v>
      </c>
      <c r="C404" t="s">
        <v>191</v>
      </c>
      <c r="E404" t="s">
        <v>19</v>
      </c>
      <c r="F404" s="11"/>
      <c r="G404" s="11"/>
      <c r="H404" t="s">
        <v>180</v>
      </c>
      <c r="J404" s="9" t="s">
        <v>172</v>
      </c>
      <c r="M404" s="2">
        <v>6</v>
      </c>
      <c r="Q404" s="4">
        <v>8.6</v>
      </c>
      <c r="W404" s="3">
        <v>4.55</v>
      </c>
      <c r="X404" s="3">
        <v>4.1500000000000004</v>
      </c>
      <c r="Z404" s="3">
        <v>2.09</v>
      </c>
      <c r="AA404" s="22">
        <v>2.69</v>
      </c>
      <c r="AB404" s="4">
        <v>183</v>
      </c>
      <c r="AD404" s="8"/>
      <c r="AE404" s="8"/>
      <c r="AU404" s="13"/>
      <c r="AV404" s="13"/>
    </row>
    <row r="405" spans="1:48" x14ac:dyDescent="0.3">
      <c r="A405" s="5">
        <v>37426</v>
      </c>
      <c r="C405" t="s">
        <v>202</v>
      </c>
      <c r="F405" s="11"/>
      <c r="G405" s="11"/>
      <c r="H405" t="s">
        <v>203</v>
      </c>
      <c r="J405" s="9">
        <v>6849</v>
      </c>
      <c r="M405" s="2">
        <v>5.8</v>
      </c>
      <c r="R405" s="4">
        <v>11.8</v>
      </c>
      <c r="W405" s="3">
        <v>2.91</v>
      </c>
      <c r="Z405" s="3">
        <v>2.77</v>
      </c>
      <c r="AA405" s="22">
        <v>2.36</v>
      </c>
      <c r="AB405" s="4">
        <v>144.4</v>
      </c>
      <c r="AD405" s="8"/>
      <c r="AE405" s="8"/>
      <c r="AS405" s="1">
        <f t="shared" si="170"/>
        <v>969.8184</v>
      </c>
      <c r="AU405" s="13"/>
      <c r="AV405" s="13"/>
    </row>
    <row r="406" spans="1:48" x14ac:dyDescent="0.3">
      <c r="A406" s="5">
        <v>37457</v>
      </c>
      <c r="C406" t="s">
        <v>191</v>
      </c>
      <c r="E406" t="s">
        <v>19</v>
      </c>
      <c r="F406" s="11"/>
      <c r="G406" s="11"/>
      <c r="H406" t="s">
        <v>180</v>
      </c>
      <c r="J406" s="9" t="s">
        <v>172</v>
      </c>
      <c r="M406" s="2">
        <v>5.9</v>
      </c>
      <c r="Q406" s="4">
        <v>3.6</v>
      </c>
      <c r="W406" s="3">
        <v>9.09</v>
      </c>
      <c r="X406" s="3">
        <v>7.08</v>
      </c>
      <c r="Z406" s="3">
        <v>4.63</v>
      </c>
      <c r="AA406" s="22">
        <v>1.55</v>
      </c>
      <c r="AB406" s="4">
        <v>379</v>
      </c>
      <c r="AD406" s="8"/>
      <c r="AE406" s="8"/>
      <c r="AU406" s="13"/>
      <c r="AV406" s="13"/>
    </row>
    <row r="407" spans="1:48" x14ac:dyDescent="0.3">
      <c r="A407" s="5">
        <v>37459</v>
      </c>
      <c r="C407" t="s">
        <v>202</v>
      </c>
      <c r="F407" s="11"/>
      <c r="G407" s="11"/>
      <c r="H407" t="s">
        <v>203</v>
      </c>
      <c r="J407" s="9">
        <v>1288</v>
      </c>
      <c r="M407" s="2">
        <v>5.7</v>
      </c>
      <c r="R407" s="4">
        <v>8.6</v>
      </c>
      <c r="W407" s="3">
        <v>8.98</v>
      </c>
      <c r="Z407" s="3">
        <v>1.48</v>
      </c>
      <c r="AA407" s="22">
        <v>4.53</v>
      </c>
      <c r="AB407" s="4">
        <v>460</v>
      </c>
      <c r="AD407" s="8"/>
      <c r="AE407" s="8"/>
      <c r="AS407" s="1">
        <f t="shared" si="170"/>
        <v>132.92160000000001</v>
      </c>
      <c r="AU407" s="13"/>
      <c r="AV407" s="13"/>
    </row>
    <row r="408" spans="1:48" x14ac:dyDescent="0.3">
      <c r="A408" s="5">
        <v>37565</v>
      </c>
      <c r="C408" t="s">
        <v>191</v>
      </c>
      <c r="E408" t="s">
        <v>19</v>
      </c>
      <c r="F408" s="11"/>
      <c r="G408" s="11"/>
      <c r="H408" t="s">
        <v>180</v>
      </c>
      <c r="J408" s="9" t="s">
        <v>172</v>
      </c>
      <c r="M408" s="2">
        <v>6.1</v>
      </c>
      <c r="Q408" s="4">
        <v>12.4</v>
      </c>
      <c r="W408" s="3">
        <v>10.9</v>
      </c>
      <c r="X408" s="3">
        <v>6.24</v>
      </c>
      <c r="Z408" s="3">
        <v>3</v>
      </c>
      <c r="AA408" s="22">
        <v>1.1200000000000001</v>
      </c>
      <c r="AB408" s="4">
        <v>190.6</v>
      </c>
      <c r="AD408" s="8"/>
      <c r="AE408" s="8"/>
      <c r="AU408" s="13"/>
      <c r="AV408" s="13"/>
    </row>
    <row r="409" spans="1:48" x14ac:dyDescent="0.3">
      <c r="A409" s="5">
        <v>37651</v>
      </c>
      <c r="C409" t="s">
        <v>191</v>
      </c>
      <c r="E409" t="s">
        <v>19</v>
      </c>
      <c r="F409" s="11"/>
      <c r="G409" s="11"/>
      <c r="H409" t="s">
        <v>180</v>
      </c>
      <c r="J409" s="9" t="s">
        <v>172</v>
      </c>
      <c r="M409" s="2">
        <v>6.4</v>
      </c>
      <c r="Q409" s="4">
        <v>9.4</v>
      </c>
      <c r="W409" s="3">
        <v>11.3</v>
      </c>
      <c r="X409" s="3">
        <v>8.43</v>
      </c>
      <c r="Z409" s="3">
        <v>2.36</v>
      </c>
      <c r="AA409" s="22">
        <v>3.36</v>
      </c>
      <c r="AB409" s="4">
        <v>299.3</v>
      </c>
      <c r="AD409" s="8"/>
      <c r="AE409" s="8"/>
      <c r="AU409" s="13"/>
      <c r="AV409" s="13"/>
    </row>
    <row r="410" spans="1:48" x14ac:dyDescent="0.3">
      <c r="A410" s="5">
        <v>37763</v>
      </c>
      <c r="C410" t="s">
        <v>202</v>
      </c>
      <c r="F410" s="11"/>
      <c r="G410" s="11"/>
      <c r="H410" t="s">
        <v>203</v>
      </c>
      <c r="J410" s="9">
        <v>5853</v>
      </c>
      <c r="M410" s="2">
        <v>6.5</v>
      </c>
      <c r="R410" s="4">
        <v>21.2</v>
      </c>
      <c r="W410" s="3">
        <v>2.82</v>
      </c>
      <c r="Z410" s="3">
        <v>0.82199999999999995</v>
      </c>
      <c r="AA410" s="22">
        <v>1.35</v>
      </c>
      <c r="AB410" s="4">
        <v>92.7</v>
      </c>
      <c r="AD410" s="8"/>
      <c r="AE410" s="8"/>
      <c r="AS410" s="1">
        <f t="shared" si="170"/>
        <v>1489.0032000000001</v>
      </c>
      <c r="AU410" s="13"/>
      <c r="AV410" s="13"/>
    </row>
    <row r="411" spans="1:48" x14ac:dyDescent="0.3">
      <c r="A411" s="5">
        <v>37792</v>
      </c>
      <c r="C411" t="s">
        <v>202</v>
      </c>
      <c r="F411" s="11"/>
      <c r="G411" s="11"/>
      <c r="H411" t="s">
        <v>203</v>
      </c>
      <c r="J411" s="9">
        <v>4342</v>
      </c>
      <c r="M411" s="2">
        <v>6.8</v>
      </c>
      <c r="R411" s="4">
        <v>18.2</v>
      </c>
      <c r="W411" s="3">
        <v>3.58</v>
      </c>
      <c r="Z411" s="3">
        <v>1.03</v>
      </c>
      <c r="AA411" s="22">
        <v>1.89</v>
      </c>
      <c r="AB411" s="4">
        <v>162.19999999999999</v>
      </c>
      <c r="AD411" s="8"/>
      <c r="AE411" s="8"/>
      <c r="AS411" s="1">
        <f t="shared" si="170"/>
        <v>948.29279999999994</v>
      </c>
      <c r="AU411" s="13"/>
      <c r="AV411" s="13"/>
    </row>
    <row r="412" spans="1:48" x14ac:dyDescent="0.3">
      <c r="A412" s="5">
        <v>37802</v>
      </c>
      <c r="C412" t="s">
        <v>191</v>
      </c>
      <c r="E412" t="s">
        <v>19</v>
      </c>
      <c r="F412" s="11"/>
      <c r="G412" s="11"/>
      <c r="H412" t="s">
        <v>192</v>
      </c>
      <c r="J412" s="9">
        <v>1939.68</v>
      </c>
      <c r="M412" s="2">
        <v>4.8600000000000003</v>
      </c>
      <c r="Q412" s="4">
        <v>1.2</v>
      </c>
      <c r="W412" s="3">
        <v>7.19</v>
      </c>
      <c r="X412" s="3" t="s">
        <v>172</v>
      </c>
      <c r="Z412" s="3">
        <v>1.08</v>
      </c>
      <c r="AA412" s="22">
        <v>2.61</v>
      </c>
      <c r="AB412" s="4">
        <v>268.39999999999998</v>
      </c>
      <c r="AD412" s="8"/>
      <c r="AE412" s="8"/>
      <c r="AU412" s="13"/>
      <c r="AV412" s="13"/>
    </row>
    <row r="413" spans="1:48" x14ac:dyDescent="0.3">
      <c r="A413" s="5">
        <v>37832</v>
      </c>
      <c r="C413" t="s">
        <v>191</v>
      </c>
      <c r="E413" t="s">
        <v>19</v>
      </c>
      <c r="F413" s="11"/>
      <c r="G413" s="11"/>
      <c r="H413" t="s">
        <v>192</v>
      </c>
      <c r="J413" s="9">
        <v>5138.49</v>
      </c>
      <c r="M413" s="2">
        <v>6.21</v>
      </c>
      <c r="Q413" s="4">
        <v>5.4</v>
      </c>
      <c r="W413" s="3">
        <v>3.53</v>
      </c>
      <c r="X413" s="3" t="s">
        <v>172</v>
      </c>
      <c r="Z413" s="3">
        <v>1.72</v>
      </c>
      <c r="AA413" s="22">
        <v>1.99</v>
      </c>
      <c r="AB413" s="4">
        <v>180.9</v>
      </c>
      <c r="AD413" s="8"/>
      <c r="AE413" s="8"/>
      <c r="AU413" s="13"/>
      <c r="AV413" s="13"/>
    </row>
    <row r="414" spans="1:48" x14ac:dyDescent="0.3">
      <c r="A414" s="5">
        <v>37841</v>
      </c>
      <c r="C414" t="s">
        <v>202</v>
      </c>
      <c r="F414" s="11"/>
      <c r="G414" s="11"/>
      <c r="H414" t="s">
        <v>203</v>
      </c>
      <c r="J414" s="9">
        <v>6220</v>
      </c>
      <c r="M414" s="2">
        <v>6.9</v>
      </c>
      <c r="R414" s="4">
        <v>17.600000000000001</v>
      </c>
      <c r="W414" s="3">
        <v>3.14</v>
      </c>
      <c r="Z414" s="3">
        <v>1.71</v>
      </c>
      <c r="AA414" s="22">
        <v>1.93</v>
      </c>
      <c r="AB414" s="4">
        <v>149.4</v>
      </c>
      <c r="AD414" s="8"/>
      <c r="AE414" s="8"/>
      <c r="AS414" s="1">
        <f t="shared" si="170"/>
        <v>1313.6640000000002</v>
      </c>
      <c r="AU414" s="13"/>
      <c r="AV414" s="13"/>
    </row>
    <row r="415" spans="1:48" x14ac:dyDescent="0.3">
      <c r="A415" s="5">
        <v>37854</v>
      </c>
      <c r="C415" t="s">
        <v>191</v>
      </c>
      <c r="E415" t="s">
        <v>19</v>
      </c>
      <c r="F415" s="11"/>
      <c r="G415" s="11"/>
      <c r="H415" t="s">
        <v>192</v>
      </c>
      <c r="J415" s="9">
        <v>4572.53</v>
      </c>
      <c r="M415" s="2">
        <v>5.83</v>
      </c>
      <c r="Q415" s="4">
        <v>4.5999999999999996</v>
      </c>
      <c r="W415" s="3">
        <v>6.25</v>
      </c>
      <c r="X415" s="3" t="s">
        <v>172</v>
      </c>
      <c r="Z415" s="3">
        <v>2.64</v>
      </c>
      <c r="AA415" s="22">
        <v>2.86</v>
      </c>
      <c r="AB415" s="4">
        <v>195.9</v>
      </c>
      <c r="AD415" s="8"/>
      <c r="AE415" s="8"/>
      <c r="AU415" s="13"/>
      <c r="AV415" s="13"/>
    </row>
    <row r="416" spans="1:48" x14ac:dyDescent="0.3">
      <c r="A416" s="5">
        <v>37892</v>
      </c>
      <c r="C416" t="s">
        <v>191</v>
      </c>
      <c r="E416" t="s">
        <v>19</v>
      </c>
      <c r="F416" s="11"/>
      <c r="G416" s="11"/>
      <c r="H416" t="s">
        <v>192</v>
      </c>
      <c r="J416" s="9">
        <v>5212.1400000000003</v>
      </c>
      <c r="M416" s="2">
        <v>6.6</v>
      </c>
      <c r="Q416" s="4">
        <v>25.5</v>
      </c>
      <c r="W416" s="3">
        <v>2.23</v>
      </c>
      <c r="X416" s="3" t="s">
        <v>172</v>
      </c>
      <c r="Z416" s="3">
        <v>0.33</v>
      </c>
      <c r="AA416" s="22">
        <v>1.07</v>
      </c>
      <c r="AB416" s="4">
        <v>105</v>
      </c>
      <c r="AD416" s="8"/>
      <c r="AE416" s="8"/>
      <c r="AU416" s="13"/>
      <c r="AV416" s="13"/>
    </row>
    <row r="417" spans="1:48" x14ac:dyDescent="0.3">
      <c r="A417" s="5">
        <v>37918</v>
      </c>
      <c r="C417" t="s">
        <v>191</v>
      </c>
      <c r="E417" t="s">
        <v>19</v>
      </c>
      <c r="F417" s="11"/>
      <c r="G417" s="11"/>
      <c r="H417" t="s">
        <v>192</v>
      </c>
      <c r="J417" s="9">
        <v>2262.96</v>
      </c>
      <c r="M417" s="2">
        <v>6.24</v>
      </c>
      <c r="Q417" s="4">
        <v>10.4</v>
      </c>
      <c r="W417" s="3">
        <v>6.62</v>
      </c>
      <c r="X417" s="3" t="s">
        <v>172</v>
      </c>
      <c r="Z417" s="3">
        <v>1.73</v>
      </c>
      <c r="AA417" s="22">
        <v>1.97</v>
      </c>
      <c r="AB417" s="4">
        <v>188.9</v>
      </c>
      <c r="AD417" s="8"/>
      <c r="AE417" s="8"/>
      <c r="AU417" s="13"/>
      <c r="AV417" s="13"/>
    </row>
    <row r="418" spans="1:48" x14ac:dyDescent="0.3">
      <c r="A418" s="5">
        <v>37925</v>
      </c>
      <c r="C418" t="s">
        <v>191</v>
      </c>
      <c r="E418" t="s">
        <v>19</v>
      </c>
      <c r="F418" s="11"/>
      <c r="G418" s="11"/>
      <c r="H418" t="s">
        <v>180</v>
      </c>
      <c r="J418" s="9" t="s">
        <v>172</v>
      </c>
      <c r="M418" s="2">
        <v>6.7</v>
      </c>
      <c r="Q418" s="4">
        <v>24.8</v>
      </c>
      <c r="W418" s="3">
        <v>5.38</v>
      </c>
      <c r="X418" s="3">
        <v>4.3499999999999996</v>
      </c>
      <c r="Z418" s="3">
        <v>0.91</v>
      </c>
      <c r="AA418" s="22">
        <v>1.91</v>
      </c>
      <c r="AB418" s="4">
        <v>156.4</v>
      </c>
      <c r="AD418" s="8"/>
      <c r="AE418" s="8"/>
      <c r="AU418" s="13"/>
      <c r="AV418" s="13"/>
    </row>
    <row r="419" spans="1:48" x14ac:dyDescent="0.3">
      <c r="A419" s="5">
        <v>37962</v>
      </c>
      <c r="C419" t="s">
        <v>191</v>
      </c>
      <c r="E419" t="s">
        <v>19</v>
      </c>
      <c r="F419" s="11"/>
      <c r="G419" s="11"/>
      <c r="H419" t="s">
        <v>192</v>
      </c>
      <c r="J419" s="9">
        <v>5212.1400000000003</v>
      </c>
      <c r="M419" s="2">
        <v>6.7</v>
      </c>
      <c r="Q419" s="4">
        <v>10.199999999999999</v>
      </c>
      <c r="W419" s="3">
        <v>4.6100000000000003</v>
      </c>
      <c r="X419" s="3" t="s">
        <v>172</v>
      </c>
      <c r="Z419" s="3">
        <v>2</v>
      </c>
      <c r="AA419" s="22">
        <v>1.73</v>
      </c>
      <c r="AB419" s="4">
        <v>168.2</v>
      </c>
      <c r="AD419" s="8"/>
      <c r="AE419" s="8"/>
      <c r="AU419" s="13"/>
      <c r="AV419" s="13"/>
    </row>
    <row r="420" spans="1:48" x14ac:dyDescent="0.3">
      <c r="A420" s="5">
        <v>37988</v>
      </c>
      <c r="C420" t="s">
        <v>191</v>
      </c>
      <c r="E420" t="s">
        <v>19</v>
      </c>
      <c r="F420" s="11"/>
      <c r="G420" s="11"/>
      <c r="H420" t="s">
        <v>192</v>
      </c>
      <c r="J420" s="9" t="s">
        <v>172</v>
      </c>
      <c r="M420" s="2">
        <v>6.86</v>
      </c>
      <c r="Q420" s="4">
        <v>14.7</v>
      </c>
      <c r="W420" s="3">
        <v>3.37</v>
      </c>
      <c r="X420" s="3" t="s">
        <v>172</v>
      </c>
      <c r="Z420" s="3">
        <v>1.74</v>
      </c>
      <c r="AA420" s="22">
        <v>0.78</v>
      </c>
      <c r="AB420" s="4">
        <v>77</v>
      </c>
      <c r="AD420" s="8"/>
      <c r="AE420" s="8"/>
      <c r="AU420" s="13"/>
      <c r="AV420" s="13"/>
    </row>
    <row r="421" spans="1:48" x14ac:dyDescent="0.3">
      <c r="A421" s="5">
        <v>38046</v>
      </c>
      <c r="C421" t="s">
        <v>191</v>
      </c>
      <c r="E421" t="s">
        <v>19</v>
      </c>
      <c r="F421" s="11"/>
      <c r="G421" s="11"/>
      <c r="H421" t="s">
        <v>192</v>
      </c>
      <c r="J421" s="9">
        <v>24066.400000000001</v>
      </c>
      <c r="M421" s="2">
        <v>6.27</v>
      </c>
      <c r="Q421" s="4">
        <v>11.7</v>
      </c>
      <c r="W421" s="3">
        <v>3.79</v>
      </c>
      <c r="X421" s="3" t="s">
        <v>172</v>
      </c>
      <c r="Z421" s="3">
        <v>1.69</v>
      </c>
      <c r="AA421" s="22">
        <v>1.29</v>
      </c>
      <c r="AB421" s="4">
        <v>135</v>
      </c>
      <c r="AD421" s="8"/>
      <c r="AE421" s="8"/>
      <c r="AU421" s="13"/>
      <c r="AV421" s="13"/>
    </row>
    <row r="422" spans="1:48" x14ac:dyDescent="0.3">
      <c r="A422" s="5">
        <v>38073</v>
      </c>
      <c r="C422" t="s">
        <v>191</v>
      </c>
      <c r="E422" t="s">
        <v>19</v>
      </c>
      <c r="F422" s="11"/>
      <c r="G422" s="11"/>
      <c r="H422" t="s">
        <v>192</v>
      </c>
      <c r="J422" s="9">
        <v>21412.81</v>
      </c>
      <c r="M422" s="2">
        <v>6.04</v>
      </c>
      <c r="Q422" s="4">
        <v>5.7</v>
      </c>
      <c r="W422" s="3">
        <v>3.36</v>
      </c>
      <c r="X422" s="3" t="s">
        <v>172</v>
      </c>
      <c r="Z422" s="3">
        <v>1.71</v>
      </c>
      <c r="AA422" s="3">
        <v>1.62</v>
      </c>
      <c r="AB422" s="4">
        <v>142.30000000000001</v>
      </c>
      <c r="AD422" s="8"/>
      <c r="AE422" s="8"/>
      <c r="AU422" s="13"/>
      <c r="AV422" s="13"/>
    </row>
    <row r="423" spans="1:48" x14ac:dyDescent="0.3">
      <c r="A423" s="5">
        <v>38094</v>
      </c>
      <c r="C423" t="s">
        <v>191</v>
      </c>
      <c r="E423" t="s">
        <v>19</v>
      </c>
      <c r="F423" s="11"/>
      <c r="G423" s="11"/>
      <c r="H423" t="s">
        <v>192</v>
      </c>
      <c r="J423" s="9">
        <v>23617.4</v>
      </c>
      <c r="M423" s="2">
        <v>5.82</v>
      </c>
      <c r="Q423" s="4">
        <v>2.6</v>
      </c>
      <c r="W423" s="3">
        <v>2.34</v>
      </c>
      <c r="X423" s="3" t="s">
        <v>172</v>
      </c>
      <c r="Z423" s="3">
        <v>2.14</v>
      </c>
      <c r="AA423" s="3">
        <v>1.67</v>
      </c>
      <c r="AB423" s="4">
        <v>139.1</v>
      </c>
      <c r="AD423" s="8"/>
      <c r="AE423" s="8"/>
      <c r="AU423" s="13"/>
      <c r="AV423" s="13"/>
    </row>
    <row r="424" spans="1:48" x14ac:dyDescent="0.3">
      <c r="A424" s="5">
        <v>38121</v>
      </c>
      <c r="C424" t="s">
        <v>191</v>
      </c>
      <c r="E424" t="s">
        <v>19</v>
      </c>
      <c r="F424" s="11"/>
      <c r="G424" s="11"/>
      <c r="H424" t="s">
        <v>192</v>
      </c>
      <c r="J424" s="9">
        <v>4094.88</v>
      </c>
      <c r="M424" s="2">
        <v>6.5</v>
      </c>
      <c r="Q424" s="4">
        <v>9.1999999999999993</v>
      </c>
      <c r="W424" s="3">
        <v>3.63</v>
      </c>
      <c r="X424" s="3" t="s">
        <v>172</v>
      </c>
      <c r="Z424" s="3">
        <v>0.9</v>
      </c>
      <c r="AA424" s="3">
        <v>2.13</v>
      </c>
      <c r="AB424" s="4">
        <v>208.6</v>
      </c>
      <c r="AD424" s="8"/>
      <c r="AE424" s="8"/>
      <c r="AU424" s="13"/>
      <c r="AV424" s="13"/>
    </row>
    <row r="425" spans="1:48" x14ac:dyDescent="0.3">
      <c r="A425" s="5">
        <v>44845</v>
      </c>
      <c r="B425" s="12" t="s">
        <v>18</v>
      </c>
      <c r="C425" t="s">
        <v>145</v>
      </c>
      <c r="D425">
        <v>60150</v>
      </c>
      <c r="E425" t="s">
        <v>19</v>
      </c>
      <c r="F425" s="11">
        <v>40.637540000000001</v>
      </c>
      <c r="G425" s="11">
        <v>-79.03631</v>
      </c>
      <c r="H425" t="s">
        <v>90</v>
      </c>
      <c r="I425" s="2">
        <v>0.1</v>
      </c>
      <c r="J425" s="1">
        <v>1482</v>
      </c>
      <c r="K425" t="s">
        <v>96</v>
      </c>
      <c r="L425" s="2">
        <v>7.05</v>
      </c>
      <c r="M425" s="2">
        <v>6.7</v>
      </c>
      <c r="N425" s="1">
        <v>429</v>
      </c>
      <c r="O425" s="1">
        <v>427</v>
      </c>
      <c r="P425" s="3">
        <v>8.1999999999999993</v>
      </c>
      <c r="Q425" s="4">
        <v>23.5</v>
      </c>
      <c r="R425" s="4">
        <v>30.8</v>
      </c>
      <c r="S425" s="4">
        <v>-11.2</v>
      </c>
      <c r="T425" s="4" cm="1">
        <f t="array" ref="T425">_xlfn.IFS(L425&lt;=5,IF(ISNUMBER(X425)=TRUE,X425*1.79+AA425*1.8+Z425*5.56+50000*(10^-L425)-Q425,1.79+AA425*1.8+Z425*5.56+50000*(10^-L425)-Q425),L425&gt;5,IF(ISNUMBER(X425)=TRUE,X425*1.79+AA425*1.8+50000*(10^-L425)-Q425,AA425*1.8+50000*(10^-L425)-Q425))</f>
        <v>-20.711073745309331</v>
      </c>
      <c r="U425" s="2">
        <v>10.199999999999999</v>
      </c>
      <c r="V425" s="2">
        <v>86.5</v>
      </c>
      <c r="W425" s="3">
        <v>1.0249999999999999</v>
      </c>
      <c r="X425" s="3">
        <v>0.55300000000000005</v>
      </c>
      <c r="Z425" s="101">
        <v>0.3</v>
      </c>
      <c r="AA425" s="3">
        <v>0.997</v>
      </c>
      <c r="AB425" s="4">
        <v>173.2</v>
      </c>
      <c r="AC425" s="3">
        <v>44.95</v>
      </c>
      <c r="AD425" s="8">
        <v>19.95</v>
      </c>
      <c r="AE425" s="8">
        <v>5.32</v>
      </c>
      <c r="AF425" s="3">
        <v>2.1</v>
      </c>
      <c r="AG425" s="3">
        <v>8.1</v>
      </c>
      <c r="AH425" s="2" t="s">
        <v>161</v>
      </c>
      <c r="AI425" s="2" t="s">
        <v>162</v>
      </c>
      <c r="AJ425" s="3" t="s">
        <v>159</v>
      </c>
      <c r="AN425" s="1">
        <f t="shared" ref="AN425:AN430" si="190">S425*J425*0.012</f>
        <v>-199.18079999999998</v>
      </c>
      <c r="AO425" s="1">
        <f t="shared" ref="AO425:AO430" si="191">W425*J425*0.012</f>
        <v>18.2286</v>
      </c>
      <c r="AP425" s="1">
        <f>Z425*J425*0.012</f>
        <v>5.3351999999999995</v>
      </c>
      <c r="AQ425" s="1">
        <f t="shared" ref="AQ425:AQ430" si="192">AA425*J425*0.012</f>
        <v>17.730648000000002</v>
      </c>
      <c r="AR425" s="1">
        <f>AB425*J425*0.012</f>
        <v>3080.1887999999999</v>
      </c>
      <c r="AS425" s="1">
        <f t="shared" si="170"/>
        <v>547.74720000000002</v>
      </c>
      <c r="AU425" s="13" t="str">
        <f>CONCATENATE(TEXT(ROUNDDOWN(ABS(F425),0),"00"),"° ",TEXT(ROUNDDOWN(ABS((F425-ROUNDDOWN(F425,0))*60),0),"00"),"' ",TEXT(TRUNC((ABS((F425-ROUNDDOWN(F425,0))*60)-ROUNDDOWN(ABS((F425-ROUNDDOWN(F425,0))*60),0))*60,2),"00.00"),"""",IF(F425&lt;0," S"," N"))</f>
        <v>40° 38' 15.14" N</v>
      </c>
      <c r="AV425" s="13" t="str">
        <f>CONCATENATE(TEXT(ROUNDDOWN(ABS(G425),0),"000"),"° ",TEXT(ROUNDDOWN(ABS((G425-ROUNDDOWN(G425,0))*60),0),"00"),"' ",TEXT(TRUNC((ABS((G425-ROUNDDOWN(G425,0))*60)-ROUNDDOWN(ABS((G425-ROUNDDOWN(G425,0))*60),0))*60,2),"00.00"),"""",IF(G425&lt;0," W"," E"))</f>
        <v>079° 02' 10.71" W</v>
      </c>
    </row>
    <row r="426" spans="1:48" x14ac:dyDescent="0.3">
      <c r="A426" s="5">
        <v>44903</v>
      </c>
      <c r="B426" s="12" t="s">
        <v>18</v>
      </c>
      <c r="C426" t="s">
        <v>145</v>
      </c>
      <c r="D426">
        <v>60150</v>
      </c>
      <c r="E426" t="s">
        <v>19</v>
      </c>
      <c r="F426" s="11">
        <v>40.637540000000001</v>
      </c>
      <c r="G426" s="11">
        <v>-79.03631</v>
      </c>
      <c r="H426" t="s">
        <v>90</v>
      </c>
      <c r="I426" s="2">
        <v>0.1</v>
      </c>
      <c r="J426" s="1">
        <v>3649</v>
      </c>
      <c r="K426" t="s">
        <v>96</v>
      </c>
      <c r="L426" s="2">
        <v>6.91</v>
      </c>
      <c r="M426" s="2">
        <v>6.8</v>
      </c>
      <c r="N426" s="1">
        <v>290.2</v>
      </c>
      <c r="O426" s="1">
        <v>296</v>
      </c>
      <c r="P426" s="3">
        <v>7.9</v>
      </c>
      <c r="Q426" s="4">
        <f>AVERAGE(24.8,25.7)</f>
        <v>25.25</v>
      </c>
      <c r="R426" s="4">
        <v>31.2</v>
      </c>
      <c r="S426" s="4">
        <v>-13.8</v>
      </c>
      <c r="T426" s="4" cm="1">
        <f t="array" ref="T426">_xlfn.IFS(L426&lt;=5,IF(ISNUMBER(X426)=TRUE,X426*1.79+AA426*1.8+Z426*5.56+50000*(10^-L426)-Q426,1.79+AA426*1.8+Z426*5.56+50000*(10^-L426)-Q426),L426&gt;5,IF(ISNUMBER(X426)=TRUE,X426*1.79+AA426*1.8+50000*(10^-L426)-Q426,AA426*1.8+50000*(10^-L426)-Q426))</f>
        <v>-23.30999865614594</v>
      </c>
      <c r="W426" s="3">
        <v>1.32</v>
      </c>
      <c r="X426" s="3">
        <v>0.47499999999999998</v>
      </c>
      <c r="Z426" s="101">
        <v>0.3</v>
      </c>
      <c r="AA426" s="3">
        <v>0.60199999999999998</v>
      </c>
      <c r="AC426" s="3">
        <v>30.7</v>
      </c>
      <c r="AD426" s="8">
        <v>12.2</v>
      </c>
      <c r="AE426" s="8">
        <v>4.7699999999999996</v>
      </c>
      <c r="AF426" s="3">
        <v>1.8</v>
      </c>
      <c r="AG426" s="3">
        <v>8</v>
      </c>
      <c r="AH426" s="2" t="s">
        <v>161</v>
      </c>
      <c r="AI426" s="2" t="s">
        <v>162</v>
      </c>
      <c r="AJ426" s="3" t="s">
        <v>159</v>
      </c>
      <c r="AN426" s="1">
        <f t="shared" si="190"/>
        <v>-604.27440000000001</v>
      </c>
      <c r="AO426" s="1">
        <f t="shared" si="191"/>
        <v>57.800160000000005</v>
      </c>
      <c r="AP426" s="1">
        <f t="shared" ref="AP426:AP430" si="193">Z426*J426*0.012</f>
        <v>13.1364</v>
      </c>
      <c r="AQ426" s="1">
        <f t="shared" si="192"/>
        <v>26.360375999999999</v>
      </c>
      <c r="AS426" s="1">
        <f t="shared" si="170"/>
        <v>1366.1856</v>
      </c>
      <c r="AU426" s="13"/>
      <c r="AV426" s="13"/>
    </row>
    <row r="427" spans="1:48" x14ac:dyDescent="0.3">
      <c r="A427" s="5">
        <v>44964</v>
      </c>
      <c r="B427" s="12" t="s">
        <v>18</v>
      </c>
      <c r="C427" t="s">
        <v>145</v>
      </c>
      <c r="D427">
        <v>60150</v>
      </c>
      <c r="E427" t="s">
        <v>19</v>
      </c>
      <c r="F427" s="11">
        <v>40.637540000000001</v>
      </c>
      <c r="G427" s="11">
        <v>-79.03631</v>
      </c>
      <c r="H427" t="s">
        <v>218</v>
      </c>
      <c r="I427" s="2">
        <f>I426</f>
        <v>0.1</v>
      </c>
      <c r="J427" s="1">
        <v>3381</v>
      </c>
      <c r="K427" t="s">
        <v>96</v>
      </c>
      <c r="L427" s="2">
        <v>7.46</v>
      </c>
      <c r="M427" s="2">
        <v>6.6</v>
      </c>
      <c r="N427" s="1">
        <v>342</v>
      </c>
      <c r="O427" s="1">
        <v>336</v>
      </c>
      <c r="Q427" s="4">
        <v>21</v>
      </c>
      <c r="R427" s="4">
        <v>23.8</v>
      </c>
      <c r="S427" s="4">
        <v>-16.600000000000001</v>
      </c>
      <c r="T427" s="4" cm="1">
        <f t="array" ref="T427">_xlfn.IFS(L427&lt;=5,IF(ISNUMBER(X427)=TRUE,X427*1.79+AA427*1.8+Z427*5.56+50000*(10^-L427)-Q427,1.79+AA427*1.8+Z427*5.56+50000*(10^-L427)-Q427),L427&gt;5,IF(ISNUMBER(X427)=TRUE,X427*1.79+AA427*1.8+50000*(10^-L427)-Q427,AA427*1.8+50000*(10^-L427)-Q427))</f>
        <v>-17.606176315747739</v>
      </c>
      <c r="W427" s="3">
        <v>2.306</v>
      </c>
      <c r="X427" s="3">
        <v>0.99099999999999999</v>
      </c>
      <c r="Z427" s="3">
        <v>0.64300000000000002</v>
      </c>
      <c r="AA427" s="3">
        <v>0.89900000000000002</v>
      </c>
      <c r="AB427" s="4">
        <v>113.08</v>
      </c>
      <c r="AC427" s="3">
        <v>33.659999999999997</v>
      </c>
      <c r="AD427" s="8">
        <v>15.3</v>
      </c>
      <c r="AE427" s="8">
        <v>4.88</v>
      </c>
      <c r="AF427" s="3">
        <v>1.71</v>
      </c>
      <c r="AG427" s="3">
        <v>8.1999999999999993</v>
      </c>
      <c r="AH427" s="2" t="s">
        <v>161</v>
      </c>
      <c r="AI427" s="2">
        <v>4.8000000000000001E-2</v>
      </c>
      <c r="AJ427" s="3" t="s">
        <v>159</v>
      </c>
      <c r="AN427" s="1">
        <f t="shared" si="190"/>
        <v>-673.49520000000007</v>
      </c>
      <c r="AO427" s="1">
        <f t="shared" si="191"/>
        <v>93.559032000000002</v>
      </c>
      <c r="AP427" s="1">
        <f t="shared" si="193"/>
        <v>26.087796000000001</v>
      </c>
      <c r="AQ427" s="1">
        <f t="shared" si="192"/>
        <v>36.474228000000004</v>
      </c>
      <c r="AR427" s="1">
        <f>AB427*J427*0.012</f>
        <v>4587.8817600000002</v>
      </c>
      <c r="AS427" s="1">
        <f t="shared" si="170"/>
        <v>965.61360000000002</v>
      </c>
      <c r="AU427" s="13"/>
      <c r="AV427" s="13"/>
    </row>
    <row r="428" spans="1:48" x14ac:dyDescent="0.3">
      <c r="A428" s="5">
        <v>45022</v>
      </c>
      <c r="B428" s="12" t="s">
        <v>20</v>
      </c>
      <c r="C428" t="s">
        <v>145</v>
      </c>
      <c r="D428">
        <v>60150</v>
      </c>
      <c r="E428" t="s">
        <v>19</v>
      </c>
      <c r="F428" s="11">
        <v>40.637540000000001</v>
      </c>
      <c r="G428" s="11">
        <v>-79.03631</v>
      </c>
      <c r="H428" t="s">
        <v>256</v>
      </c>
      <c r="J428" s="1">
        <v>4805</v>
      </c>
      <c r="K428" t="s">
        <v>96</v>
      </c>
      <c r="L428" s="2">
        <v>7.02</v>
      </c>
      <c r="M428" s="2">
        <v>6.2</v>
      </c>
      <c r="N428" s="1">
        <v>303</v>
      </c>
      <c r="O428" s="1">
        <v>317</v>
      </c>
      <c r="Q428" s="4">
        <v>21.5</v>
      </c>
      <c r="R428" s="4">
        <v>20.399999999999999</v>
      </c>
      <c r="S428" s="4">
        <v>-4.5999999999999996</v>
      </c>
      <c r="T428" s="4" cm="1">
        <f t="array" ref="T428">_xlfn.IFS(L428&lt;=5,IF(ISNUMBER(X428)=TRUE,X428*1.79+AA428*1.8+Z428*5.56+50000*(10^-L428)-Q428,1.79+AA428*1.8+Z428*5.56+50000*(10^-L428)-Q428),L428&gt;5,IF(ISNUMBER(X428)=TRUE,X428*1.79+AA428*1.8+50000*(10^-L428)-Q428,AA428*1.8+50000*(10^-L428)-Q428))</f>
        <v>-19.485205037069893</v>
      </c>
      <c r="W428" s="3">
        <v>1.61</v>
      </c>
      <c r="X428" s="3">
        <v>0.41799999999999998</v>
      </c>
      <c r="Z428" s="3">
        <v>0.60699999999999998</v>
      </c>
      <c r="AA428" s="3">
        <v>0.70099999999999996</v>
      </c>
      <c r="AB428" s="4">
        <v>101.41</v>
      </c>
      <c r="AC428" s="3">
        <v>30.6</v>
      </c>
      <c r="AD428" s="8">
        <v>13.2</v>
      </c>
      <c r="AE428" s="8">
        <v>4.45</v>
      </c>
      <c r="AF428" s="3">
        <v>1.74</v>
      </c>
      <c r="AG428" s="3">
        <v>8.1999999999999993</v>
      </c>
      <c r="AH428" s="2" t="s">
        <v>161</v>
      </c>
      <c r="AI428" s="2">
        <v>3.4000000000000002E-2</v>
      </c>
      <c r="AJ428" s="3" t="s">
        <v>159</v>
      </c>
      <c r="AN428" s="1">
        <f t="shared" si="190"/>
        <v>-265.23599999999999</v>
      </c>
      <c r="AO428" s="1">
        <f t="shared" si="191"/>
        <v>92.832599999999999</v>
      </c>
      <c r="AP428" s="1">
        <f t="shared" si="193"/>
        <v>34.99962</v>
      </c>
      <c r="AQ428" s="1">
        <f t="shared" si="192"/>
        <v>40.41966</v>
      </c>
      <c r="AR428" s="1">
        <f>AB428*J428*0.012</f>
        <v>5847.3005999999996</v>
      </c>
      <c r="AS428" s="1">
        <f t="shared" si="170"/>
        <v>1176.2639999999999</v>
      </c>
      <c r="AU428" s="13"/>
      <c r="AV428" s="13"/>
    </row>
    <row r="429" spans="1:48" x14ac:dyDescent="0.3">
      <c r="A429" s="5">
        <v>45098</v>
      </c>
      <c r="B429" s="12" t="s">
        <v>20</v>
      </c>
      <c r="C429" t="s">
        <v>145</v>
      </c>
      <c r="D429">
        <v>60150</v>
      </c>
      <c r="E429" t="s">
        <v>19</v>
      </c>
      <c r="F429" s="11">
        <v>40.637540000000001</v>
      </c>
      <c r="G429" s="11">
        <v>-79.03631</v>
      </c>
      <c r="H429" t="s">
        <v>256</v>
      </c>
      <c r="J429" s="1">
        <v>1006</v>
      </c>
      <c r="K429" t="s">
        <v>96</v>
      </c>
      <c r="L429" s="2">
        <v>7.63</v>
      </c>
      <c r="M429" s="2">
        <v>6.6</v>
      </c>
      <c r="N429" s="1">
        <v>436</v>
      </c>
      <c r="O429" s="1">
        <v>431</v>
      </c>
      <c r="R429" s="40">
        <v>22.2</v>
      </c>
      <c r="S429" s="40">
        <v>-13.6</v>
      </c>
      <c r="T429" s="4" cm="1">
        <f t="array" ref="T429">_xlfn.IFS(L429&lt;=5,IF(ISNUMBER(X429)=TRUE,X429*1.79+AA429*1.8+Z429*5.56+50000*(10^-L429)-R429,1.79+AA429*1.8+Z429*5.56+50000*(10^-L429)-R429),L429&gt;5,IF(ISNUMBER(X429)=TRUE,X429*1.79+AA429*1.8+50000*(10^-L429)-R429,AA429*1.8+50000*(10^-L429)-R429))</f>
        <v>-20.568527885592339</v>
      </c>
      <c r="U429" s="6"/>
      <c r="V429" s="6"/>
      <c r="W429" s="8">
        <v>0.53800000000000003</v>
      </c>
      <c r="X429" s="8">
        <v>0.05</v>
      </c>
      <c r="Y429" s="8"/>
      <c r="Z429" s="8">
        <v>0.3</v>
      </c>
      <c r="AA429" s="8">
        <v>0.85599999999999998</v>
      </c>
      <c r="AB429" s="40">
        <v>168.71</v>
      </c>
      <c r="AC429" s="6">
        <v>46.4</v>
      </c>
      <c r="AD429" s="6">
        <v>19.850000000000001</v>
      </c>
      <c r="AE429" s="8">
        <v>5.64</v>
      </c>
      <c r="AF429" s="6">
        <v>2.2999999999999998</v>
      </c>
      <c r="AG429" s="6">
        <v>9.4</v>
      </c>
      <c r="AH429" s="6">
        <v>0.05</v>
      </c>
      <c r="AI429" s="41">
        <v>0.03</v>
      </c>
      <c r="AJ429" s="6">
        <v>0.2</v>
      </c>
      <c r="AK429" s="6"/>
      <c r="AL429" s="6"/>
      <c r="AN429" s="1">
        <f t="shared" si="190"/>
        <v>-164.17920000000001</v>
      </c>
      <c r="AO429" s="1">
        <f t="shared" si="191"/>
        <v>6.4947360000000005</v>
      </c>
      <c r="AP429" s="1">
        <f t="shared" si="193"/>
        <v>3.6216000000000004</v>
      </c>
      <c r="AQ429" s="1">
        <f t="shared" si="192"/>
        <v>10.333632</v>
      </c>
      <c r="AR429" s="1">
        <f>AB429*J429*0.012</f>
        <v>2036.6671200000001</v>
      </c>
      <c r="AS429" s="1">
        <f t="shared" si="170"/>
        <v>267.99839999999995</v>
      </c>
      <c r="AU429" s="13"/>
      <c r="AV429" s="13"/>
    </row>
    <row r="430" spans="1:48" x14ac:dyDescent="0.3">
      <c r="A430" s="5">
        <v>45169</v>
      </c>
      <c r="B430" s="12" t="s">
        <v>20</v>
      </c>
      <c r="C430" t="s">
        <v>145</v>
      </c>
      <c r="D430">
        <v>60150</v>
      </c>
      <c r="E430" t="s">
        <v>19</v>
      </c>
      <c r="F430" s="11">
        <v>40.637540000000001</v>
      </c>
      <c r="G430" s="11">
        <v>-79.03631</v>
      </c>
      <c r="H430" t="s">
        <v>256</v>
      </c>
      <c r="J430" s="1">
        <v>2135</v>
      </c>
      <c r="K430" t="s">
        <v>96</v>
      </c>
      <c r="L430" s="2">
        <v>7.24</v>
      </c>
      <c r="M430" s="2">
        <v>6.3</v>
      </c>
      <c r="N430" s="1">
        <v>393</v>
      </c>
      <c r="O430" s="6">
        <v>386</v>
      </c>
      <c r="R430" s="40">
        <v>28.8</v>
      </c>
      <c r="S430" s="40">
        <v>-8.4</v>
      </c>
      <c r="T430" s="4" cm="1">
        <f t="array" ref="T430">_xlfn.IFS(L430&lt;=5,IF(ISNUMBER(X430)=TRUE,X430*1.79+AA430*1.8+Z430*5.56+50000*(10^-L430)-R430,1.79+AA430*1.8+Z430*5.56+50000*(10^-L430)-R430),L430&gt;5,IF(ISNUMBER(X430)=TRUE,X430*1.79+AA430*1.8+50000*(10^-L430)-R430,AA430*1.8+50000*(10^-L430)-R430))</f>
        <v>-27.589822800313314</v>
      </c>
      <c r="U430" s="6"/>
      <c r="V430" s="6"/>
      <c r="W430" s="8">
        <v>1.39</v>
      </c>
      <c r="X430" s="8">
        <v>0.05</v>
      </c>
      <c r="Y430" s="8"/>
      <c r="Z430" s="8">
        <v>0.3</v>
      </c>
      <c r="AA430" s="8">
        <v>0.621</v>
      </c>
      <c r="AB430" s="40">
        <v>139.51</v>
      </c>
      <c r="AC430" s="6">
        <v>41.8</v>
      </c>
      <c r="AD430" s="6">
        <v>18.399999999999999</v>
      </c>
      <c r="AE430" s="8">
        <v>4.8600000000000003</v>
      </c>
      <c r="AF430" s="6">
        <v>2.14</v>
      </c>
      <c r="AG430" s="6">
        <v>7.7</v>
      </c>
      <c r="AH430" s="6">
        <v>0.05</v>
      </c>
      <c r="AI430" s="41">
        <v>0.03</v>
      </c>
      <c r="AJ430" s="6">
        <v>0.2</v>
      </c>
      <c r="AK430" s="6"/>
      <c r="AL430" s="6"/>
      <c r="AN430" s="1">
        <f t="shared" si="190"/>
        <v>-215.208</v>
      </c>
      <c r="AO430" s="1">
        <f t="shared" si="191"/>
        <v>35.611799999999995</v>
      </c>
      <c r="AP430" s="1">
        <f t="shared" si="193"/>
        <v>7.6859999999999999</v>
      </c>
      <c r="AQ430" s="1">
        <f t="shared" si="192"/>
        <v>15.910020000000001</v>
      </c>
      <c r="AR430" s="1">
        <f>AB430*J430*0.012</f>
        <v>3574.2461999999996</v>
      </c>
      <c r="AS430" s="1">
        <f t="shared" si="170"/>
        <v>737.85599999999999</v>
      </c>
      <c r="AU430" s="13"/>
      <c r="AV430" s="13"/>
    </row>
    <row r="431" spans="1:48" x14ac:dyDescent="0.3">
      <c r="A431" s="5">
        <f>'Penn Run'!A34</f>
        <v>45352</v>
      </c>
      <c r="B431" s="2">
        <f>'Penn Run'!B34</f>
        <v>1</v>
      </c>
      <c r="C431" s="2" t="str">
        <f>'Penn Run'!C34</f>
        <v>KBLPEN</v>
      </c>
      <c r="D431" s="2">
        <f>'Penn Run'!D34</f>
        <v>60150</v>
      </c>
      <c r="E431" s="2" t="str">
        <f>'Penn Run'!E34</f>
        <v>Mouth of Penn Run</v>
      </c>
      <c r="F431" s="2">
        <f>'Penn Run'!F34</f>
        <v>40.637540000000001</v>
      </c>
      <c r="G431" s="2">
        <f>'Penn Run'!G34</f>
        <v>-79.03631</v>
      </c>
      <c r="H431" s="2" t="str">
        <f>'Penn Run'!H34</f>
        <v>Hedin and ICCD</v>
      </c>
      <c r="J431" s="87">
        <f>'Penn Run'!J34</f>
        <v>8270.58</v>
      </c>
      <c r="K431" s="88" t="str">
        <f>'Penn Run'!K34</f>
        <v>M</v>
      </c>
      <c r="L431" s="88">
        <f>'Penn Run'!L34</f>
        <v>6.86</v>
      </c>
      <c r="M431" s="88">
        <f>'Penn Run'!M34</f>
        <v>6.3</v>
      </c>
      <c r="N431" s="90">
        <f>'Penn Run'!N34</f>
        <v>206</v>
      </c>
      <c r="O431" s="88"/>
      <c r="P431" s="88">
        <f>'Penn Run'!P34</f>
        <v>2.9</v>
      </c>
      <c r="Q431" s="88"/>
      <c r="R431" s="90">
        <f>'Penn Run'!R34</f>
        <v>24.6</v>
      </c>
      <c r="S431" s="90">
        <f>'Penn Run'!S34</f>
        <v>-10.8</v>
      </c>
      <c r="T431" s="4" cm="1">
        <f t="array" ref="T431">_xlfn.IFS(L431&lt;=5,IF(ISNUMBER(X431)=TRUE,X431*1.79+AA431*1.8+Z431*5.56+50000*(10^-L431)-R431,1.79+AA431*1.8+Z431*5.56+50000*(10^-L431)-R431),L431&gt;5,IF(ISNUMBER(X431)=TRUE,X431*1.79+AA431*1.8+50000*(10^-L431)-R431,AA431*1.8+50000*(10^-L431)-R431))</f>
        <v>-22.699928078676987</v>
      </c>
      <c r="U431" s="88"/>
      <c r="V431" s="88"/>
      <c r="W431" s="89">
        <f>'Penn Run'!W34</f>
        <v>1.3540000000000001</v>
      </c>
      <c r="X431" s="89">
        <f>'Penn Run'!X34</f>
        <v>0.58299999999999996</v>
      </c>
      <c r="Y431" s="89"/>
      <c r="Z431" s="89">
        <f>'Penn Run'!Z34</f>
        <v>0.5</v>
      </c>
      <c r="AA431" s="89">
        <f>'Penn Run'!AA34</f>
        <v>0.47199999999999998</v>
      </c>
      <c r="AB431" s="89">
        <f>'Penn Run'!AB34</f>
        <v>64.400000000000006</v>
      </c>
      <c r="AC431" s="88"/>
      <c r="AD431" s="88"/>
      <c r="AE431" s="88"/>
      <c r="AF431" s="88"/>
      <c r="AG431" s="88"/>
      <c r="AH431" s="88"/>
      <c r="AI431" s="88"/>
      <c r="AJ431" s="88"/>
      <c r="AK431" s="88" t="str">
        <f>'Penn Run'!AK34</f>
        <v>&lt;20</v>
      </c>
      <c r="AL431" s="88">
        <f>'Penn Run'!AL34</f>
        <v>152</v>
      </c>
      <c r="AM431" s="88"/>
      <c r="AN431" s="108">
        <f>'Penn Run'!AN34</f>
        <v>-1071.8671680000002</v>
      </c>
      <c r="AO431" s="108">
        <f>'Penn Run'!AO34</f>
        <v>134.38038384000001</v>
      </c>
      <c r="AP431" s="108">
        <f>'Penn Run'!AP34</f>
        <v>49.623480000000001</v>
      </c>
      <c r="AQ431" s="108">
        <f>'Penn Run'!AQ34</f>
        <v>46.844565119999999</v>
      </c>
      <c r="AR431" s="108">
        <f>'Penn Run'!AR34</f>
        <v>6391.5042240000012</v>
      </c>
      <c r="AS431" s="1">
        <f t="shared" si="170"/>
        <v>2441.4752160000003</v>
      </c>
      <c r="AU431" s="13"/>
      <c r="AV431" s="13"/>
    </row>
    <row r="432" spans="1:48" s="7" customFormat="1" x14ac:dyDescent="0.3">
      <c r="A432" s="45" t="s">
        <v>144</v>
      </c>
      <c r="B432" s="46"/>
      <c r="F432" s="47"/>
      <c r="G432" s="47"/>
      <c r="I432" s="15"/>
      <c r="J432" s="20">
        <f>AVERAGE(J425:J431)</f>
        <v>3532.6542857142858</v>
      </c>
      <c r="K432" s="20" t="e">
        <f t="shared" ref="K432:AS432" si="194">AVERAGE(K425:K431)</f>
        <v>#DIV/0!</v>
      </c>
      <c r="L432" s="50">
        <f t="shared" si="194"/>
        <v>7.1671428571428573</v>
      </c>
      <c r="M432" s="50">
        <f t="shared" si="194"/>
        <v>6.4999999999999991</v>
      </c>
      <c r="N432" s="20">
        <f t="shared" si="194"/>
        <v>342.74285714285713</v>
      </c>
      <c r="O432" s="20">
        <f t="shared" si="194"/>
        <v>365.5</v>
      </c>
      <c r="P432" s="20">
        <f t="shared" si="194"/>
        <v>6.333333333333333</v>
      </c>
      <c r="Q432" s="20">
        <f t="shared" si="194"/>
        <v>22.8125</v>
      </c>
      <c r="R432" s="20">
        <f t="shared" si="194"/>
        <v>25.971428571428568</v>
      </c>
      <c r="S432" s="20">
        <f t="shared" si="194"/>
        <v>-11.285714285714286</v>
      </c>
      <c r="T432" s="20">
        <f t="shared" si="194"/>
        <v>-21.710104645550789</v>
      </c>
      <c r="U432" s="20">
        <f t="shared" si="194"/>
        <v>10.199999999999999</v>
      </c>
      <c r="V432" s="20">
        <f t="shared" si="194"/>
        <v>86.5</v>
      </c>
      <c r="W432" s="30">
        <f t="shared" si="194"/>
        <v>1.3632857142857142</v>
      </c>
      <c r="X432" s="20">
        <f t="shared" si="194"/>
        <v>0.44571428571428573</v>
      </c>
      <c r="Y432" s="20"/>
      <c r="Z432" s="30">
        <f t="shared" si="194"/>
        <v>0.42142857142857137</v>
      </c>
      <c r="AA432" s="20">
        <f t="shared" si="194"/>
        <v>0.73542857142857143</v>
      </c>
      <c r="AB432" s="20">
        <f t="shared" si="194"/>
        <v>126.71833333333332</v>
      </c>
      <c r="AC432" s="20">
        <f t="shared" si="194"/>
        <v>38.018333333333338</v>
      </c>
      <c r="AD432" s="20">
        <f t="shared" si="194"/>
        <v>16.483333333333334</v>
      </c>
      <c r="AE432" s="20">
        <f t="shared" si="194"/>
        <v>4.9866666666666664</v>
      </c>
      <c r="AF432" s="20">
        <f t="shared" si="194"/>
        <v>1.9650000000000001</v>
      </c>
      <c r="AG432" s="20">
        <f t="shared" si="194"/>
        <v>8.2666666666666675</v>
      </c>
      <c r="AH432" s="20">
        <f t="shared" si="194"/>
        <v>0.05</v>
      </c>
      <c r="AI432" s="20">
        <f t="shared" si="194"/>
        <v>3.5500000000000004E-2</v>
      </c>
      <c r="AJ432" s="20">
        <f t="shared" si="194"/>
        <v>0.2</v>
      </c>
      <c r="AK432" s="20" t="e">
        <f t="shared" si="194"/>
        <v>#DIV/0!</v>
      </c>
      <c r="AL432" s="20">
        <f t="shared" si="194"/>
        <v>152</v>
      </c>
      <c r="AM432" s="20"/>
      <c r="AN432" s="20">
        <f t="shared" si="194"/>
        <v>-456.20582400000006</v>
      </c>
      <c r="AO432" s="20">
        <f t="shared" si="194"/>
        <v>62.701044548571431</v>
      </c>
      <c r="AP432" s="20">
        <f t="shared" si="194"/>
        <v>20.070013714285714</v>
      </c>
      <c r="AQ432" s="20">
        <f t="shared" si="194"/>
        <v>27.724732731428571</v>
      </c>
      <c r="AR432" s="20">
        <f t="shared" si="194"/>
        <v>4252.9647839999998</v>
      </c>
      <c r="AS432" s="20">
        <f t="shared" si="194"/>
        <v>1071.8771451428572</v>
      </c>
      <c r="AU432" s="48"/>
      <c r="AV432" s="48"/>
    </row>
    <row r="433" spans="1:48" x14ac:dyDescent="0.3">
      <c r="F433" s="11"/>
      <c r="G433" s="11"/>
      <c r="AD433" s="8"/>
      <c r="AE433" s="8"/>
      <c r="AU433" s="13"/>
      <c r="AV433" s="13"/>
    </row>
    <row r="434" spans="1:48" x14ac:dyDescent="0.3">
      <c r="A434" s="5">
        <v>44964</v>
      </c>
      <c r="B434" s="12" t="s">
        <v>211</v>
      </c>
      <c r="C434" t="s">
        <v>215</v>
      </c>
      <c r="E434" t="s">
        <v>212</v>
      </c>
      <c r="H434" t="s">
        <v>213</v>
      </c>
      <c r="J434" s="1">
        <v>1302</v>
      </c>
      <c r="K434" t="s">
        <v>96</v>
      </c>
      <c r="L434" s="2">
        <v>7.8</v>
      </c>
      <c r="M434" s="2">
        <v>7.4</v>
      </c>
      <c r="N434" s="1">
        <v>260</v>
      </c>
      <c r="O434" s="1">
        <v>259</v>
      </c>
      <c r="R434" s="4">
        <v>57.8</v>
      </c>
      <c r="S434" s="4">
        <v>-50.8</v>
      </c>
      <c r="T434" s="4" cm="1">
        <f t="array" ref="T434">_xlfn.IFS(L434&lt;=5,IF(ISNUMBER(X434)=TRUE,X434*1.79+AA434*1.8+Z434*5.56+50000*(10^-L434)-R434,1.79+AA434*1.8+Z434*5.56+50000*(10^-L434)-R434),L434&gt;5,IF(ISNUMBER(X434)=TRUE,X434*1.79+AA434*1.8+50000*(10^-L434)-R434,AA434*1.8+50000*(10^-L434)-R434))</f>
        <v>-57.648507553403768</v>
      </c>
      <c r="W434" s="3">
        <v>0.1</v>
      </c>
      <c r="X434" s="3">
        <v>0.05</v>
      </c>
      <c r="Z434" s="3" t="s">
        <v>158</v>
      </c>
      <c r="AA434" s="3">
        <v>3.4000000000000002E-2</v>
      </c>
      <c r="AB434" s="4">
        <v>37.450000000000003</v>
      </c>
      <c r="AC434" s="3">
        <v>26.79</v>
      </c>
      <c r="AD434" s="3">
        <v>7.96</v>
      </c>
      <c r="AE434" s="3">
        <v>9.0299999999999994</v>
      </c>
      <c r="AF434" s="3">
        <v>1.58</v>
      </c>
      <c r="AG434" s="3">
        <v>16.899999999999999</v>
      </c>
      <c r="AH434" s="2" t="s">
        <v>161</v>
      </c>
      <c r="AI434" s="2" t="s">
        <v>162</v>
      </c>
      <c r="AJ434" s="3" t="s">
        <v>159</v>
      </c>
      <c r="AN434" s="1">
        <f>S434*J434*0.012</f>
        <v>-793.69919999999991</v>
      </c>
      <c r="AO434" s="1">
        <f>W434*J434*0.012</f>
        <v>1.5624000000000002</v>
      </c>
      <c r="AP434" s="1" t="e">
        <f>Z434*J434*0.012</f>
        <v>#VALUE!</v>
      </c>
      <c r="AQ434" s="1">
        <f>AA434*J434*0.012</f>
        <v>0.53121600000000002</v>
      </c>
      <c r="AR434" s="1">
        <f>AB434*J434*0.012</f>
        <v>585.11880000000008</v>
      </c>
      <c r="AS434" s="1">
        <f t="shared" si="170"/>
        <v>903.06719999999996</v>
      </c>
    </row>
    <row r="435" spans="1:48" x14ac:dyDescent="0.3">
      <c r="A435" s="5">
        <v>45022</v>
      </c>
      <c r="B435" s="12" t="s">
        <v>32</v>
      </c>
      <c r="C435" t="s">
        <v>204</v>
      </c>
      <c r="E435" t="s">
        <v>212</v>
      </c>
      <c r="H435" t="s">
        <v>256</v>
      </c>
      <c r="J435" s="1">
        <v>1567</v>
      </c>
      <c r="K435" t="s">
        <v>96</v>
      </c>
      <c r="L435" s="2">
        <v>7.49</v>
      </c>
      <c r="M435" s="2">
        <v>6.5</v>
      </c>
      <c r="N435" s="1">
        <v>224</v>
      </c>
      <c r="O435" s="1">
        <v>238</v>
      </c>
      <c r="R435" s="4">
        <v>49.6</v>
      </c>
      <c r="S435" s="4">
        <v>-45</v>
      </c>
      <c r="T435" s="4" cm="1">
        <f t="array" ref="T435">_xlfn.IFS(L435&lt;=5,IF(ISNUMBER(X435)=TRUE,X435*1.79+AA435*1.8+Z435*5.56+50000*(10^-L435)-R435,1.79+AA435*1.8+Z435*5.56+50000*(10^-L435)-R435),L435&gt;5,IF(ISNUMBER(X435)=TRUE,X435*1.79+AA435*1.8+50000*(10^-L435)-R435,AA435*1.8+50000*(10^-L435)-R435))</f>
        <v>-49.41555203171535</v>
      </c>
      <c r="W435" s="3">
        <v>0.215</v>
      </c>
      <c r="X435" s="3">
        <v>7.6999999999999999E-2</v>
      </c>
      <c r="Z435" s="3">
        <v>0.3</v>
      </c>
      <c r="AA435" s="3">
        <v>2.5000000000000001E-2</v>
      </c>
      <c r="AB435" s="4">
        <v>33.869999999999997</v>
      </c>
      <c r="AC435" s="3">
        <v>25.7</v>
      </c>
      <c r="AD435" s="3">
        <v>7.14</v>
      </c>
      <c r="AE435" s="3">
        <v>8.33</v>
      </c>
      <c r="AF435" s="3">
        <v>1.58</v>
      </c>
      <c r="AG435" s="3">
        <v>15.1</v>
      </c>
      <c r="AH435" s="2" t="s">
        <v>161</v>
      </c>
      <c r="AI435" s="2" t="s">
        <v>162</v>
      </c>
      <c r="AJ435" s="3" t="s">
        <v>159</v>
      </c>
      <c r="AN435" s="1">
        <f>S435*J435*0.012</f>
        <v>-846.18000000000006</v>
      </c>
      <c r="AO435" s="1">
        <f>W435*J435*0.012</f>
        <v>4.0428600000000001</v>
      </c>
      <c r="AP435" s="1">
        <f>Z435*J435*0.012</f>
        <v>5.6411999999999995</v>
      </c>
      <c r="AQ435" s="1">
        <f>AA435*J435*0.012</f>
        <v>0.47010000000000007</v>
      </c>
      <c r="AR435" s="1">
        <f>AB435*J435*0.012</f>
        <v>636.89147999999989</v>
      </c>
      <c r="AS435" s="1">
        <f t="shared" ref="AS435:AS437" si="195">0.012*R435*J435</f>
        <v>932.67840000000012</v>
      </c>
    </row>
    <row r="436" spans="1:48" x14ac:dyDescent="0.3">
      <c r="A436" s="5">
        <v>45098</v>
      </c>
      <c r="B436" s="12" t="s">
        <v>75</v>
      </c>
      <c r="C436" t="s">
        <v>204</v>
      </c>
      <c r="E436" t="s">
        <v>212</v>
      </c>
      <c r="H436" t="s">
        <v>93</v>
      </c>
      <c r="J436" s="1">
        <v>247</v>
      </c>
      <c r="K436" t="s">
        <v>96</v>
      </c>
      <c r="L436" s="2">
        <v>7.65</v>
      </c>
      <c r="M436" s="2">
        <v>7.4</v>
      </c>
      <c r="N436" s="1">
        <v>328</v>
      </c>
      <c r="O436" s="1">
        <v>367</v>
      </c>
      <c r="P436" s="3">
        <v>17.2</v>
      </c>
      <c r="Q436" s="4">
        <v>84.84</v>
      </c>
      <c r="R436" s="40">
        <v>84.2</v>
      </c>
      <c r="S436" s="6">
        <v>-80</v>
      </c>
      <c r="T436" s="4" cm="1">
        <f t="array" ref="T436">_xlfn.IFS(L436&lt;=5,IF(ISNUMBER(X436)=TRUE,X436*1.79+AA436*1.8+Z436*5.56+50000*(10^-L436)-R436,1.79+AA436*1.8+Z436*5.56+50000*(10^-L436)-R436),L436&gt;5,IF(ISNUMBER(X436)=TRUE,X436*1.79+AA436*1.8+50000*(10^-L436)-R436,AA436*1.8+50000*(10^-L436)-R436))</f>
        <v>-84.058980639430715</v>
      </c>
      <c r="U436" s="6"/>
      <c r="V436" s="6"/>
      <c r="W436" s="8">
        <v>0.27</v>
      </c>
      <c r="X436" s="8">
        <v>0.05</v>
      </c>
      <c r="Y436" s="8"/>
      <c r="Z436" s="8">
        <v>0.3</v>
      </c>
      <c r="AA436" s="8">
        <v>2.8000000000000001E-2</v>
      </c>
      <c r="AB436" s="40">
        <v>51.33</v>
      </c>
      <c r="AC436" s="8">
        <v>40.68</v>
      </c>
      <c r="AD436" s="6">
        <v>10.9</v>
      </c>
      <c r="AE436" s="6">
        <v>10.24</v>
      </c>
      <c r="AF436" s="6">
        <v>2.2999999999999998</v>
      </c>
      <c r="AG436" s="6">
        <v>20.100000000000001</v>
      </c>
      <c r="AH436" s="6">
        <v>0.05</v>
      </c>
      <c r="AI436" s="41">
        <v>0.03</v>
      </c>
      <c r="AJ436" s="6">
        <v>0.2</v>
      </c>
      <c r="AK436" s="6"/>
      <c r="AL436" s="6"/>
      <c r="AN436" s="1">
        <f>S436*J436*0.012</f>
        <v>-237.12</v>
      </c>
      <c r="AO436" s="1">
        <f>W436*J436*0.012</f>
        <v>0.80027999999999999</v>
      </c>
      <c r="AP436" s="1">
        <f>Z436*J436*0.012</f>
        <v>0.88919999999999999</v>
      </c>
      <c r="AQ436" s="1">
        <f>AA436*J436*0.012</f>
        <v>8.299200000000001E-2</v>
      </c>
      <c r="AR436" s="1">
        <f>AB436*J436*0.012</f>
        <v>152.14212000000001</v>
      </c>
      <c r="AS436" s="1">
        <f t="shared" si="195"/>
        <v>249.56879999999998</v>
      </c>
    </row>
    <row r="437" spans="1:48" x14ac:dyDescent="0.3">
      <c r="A437" s="5">
        <v>45169</v>
      </c>
      <c r="B437" s="12" t="s">
        <v>40</v>
      </c>
      <c r="C437" t="s">
        <v>204</v>
      </c>
      <c r="E437" t="s">
        <v>212</v>
      </c>
      <c r="H437" t="s">
        <v>256</v>
      </c>
      <c r="J437" s="1">
        <v>710</v>
      </c>
      <c r="K437" t="s">
        <v>227</v>
      </c>
      <c r="L437" s="2">
        <v>7.88</v>
      </c>
      <c r="M437" s="2">
        <v>7.1</v>
      </c>
      <c r="N437" s="1">
        <v>310</v>
      </c>
      <c r="O437" s="1">
        <v>303</v>
      </c>
      <c r="R437" s="40">
        <v>81.599999999999994</v>
      </c>
      <c r="S437" s="40">
        <v>-69.2</v>
      </c>
      <c r="T437" s="4" cm="1">
        <f t="array" ref="T437">_xlfn.IFS(L437&lt;=5,IF(ISNUMBER(X437)=TRUE,X437*1.79+AA437*1.8+Z437*5.56+50000*(10^-L437)-R437,1.79+AA437*1.8+Z437*5.56+50000*(10^-L437)-R437),L437&gt;5,IF(ISNUMBER(X437)=TRUE,X437*1.79+AA437*1.8+50000*(10^-L437)-R437,AA437*1.8+50000*(10^-L437)-R437))</f>
        <v>-81.468440871630719</v>
      </c>
      <c r="U437" s="6"/>
      <c r="V437" s="6"/>
      <c r="W437" s="8">
        <v>0.36</v>
      </c>
      <c r="X437" s="8">
        <v>0.05</v>
      </c>
      <c r="Y437" s="8"/>
      <c r="Z437" s="8">
        <v>0.3</v>
      </c>
      <c r="AA437" s="8">
        <v>2.3E-2</v>
      </c>
      <c r="AB437" s="40">
        <v>40.39</v>
      </c>
      <c r="AC437" s="6">
        <v>37.299999999999997</v>
      </c>
      <c r="AD437" s="6">
        <v>10.5</v>
      </c>
      <c r="AE437" s="8">
        <v>8.44</v>
      </c>
      <c r="AF437" s="8">
        <v>2</v>
      </c>
      <c r="AG437" s="6">
        <v>14.5</v>
      </c>
      <c r="AH437" s="6">
        <v>0.05</v>
      </c>
      <c r="AI437" s="41">
        <v>0.03</v>
      </c>
      <c r="AJ437" s="6">
        <v>0.2</v>
      </c>
      <c r="AK437" s="6"/>
      <c r="AL437" s="6"/>
      <c r="AN437" s="1">
        <f>S437*J437*0.012</f>
        <v>-589.58400000000006</v>
      </c>
      <c r="AO437" s="1">
        <f>W437*J437*0.012</f>
        <v>3.0672000000000001</v>
      </c>
      <c r="AP437" s="1">
        <f>Z437*J437*0.012</f>
        <v>2.556</v>
      </c>
      <c r="AQ437" s="1">
        <f>AA437*J437*0.012</f>
        <v>0.19596</v>
      </c>
      <c r="AR437" s="1">
        <f>AB437*J437*0.012</f>
        <v>344.12280000000004</v>
      </c>
      <c r="AS437" s="1">
        <f t="shared" si="195"/>
        <v>695.23199999999997</v>
      </c>
    </row>
    <row r="438" spans="1:48" x14ac:dyDescent="0.3">
      <c r="A438" s="5">
        <f>'Penn Run'!A179</f>
        <v>45352</v>
      </c>
      <c r="B438" s="5"/>
      <c r="C438" s="5" t="str">
        <f>'Penn Run'!C179</f>
        <v>MP1</v>
      </c>
      <c r="D438" s="5"/>
      <c r="E438" s="5" t="str">
        <f>'Penn Run'!E179</f>
        <v>Penn Run upstream TMDL</v>
      </c>
      <c r="F438" s="5"/>
      <c r="G438" s="5"/>
      <c r="H438" s="5" t="str">
        <f>'Penn Run'!H179</f>
        <v>Hedin/ICCD</v>
      </c>
      <c r="I438" s="5"/>
      <c r="J438" s="87">
        <f>'Penn Run'!J179</f>
        <v>3825.48</v>
      </c>
      <c r="K438" s="2"/>
      <c r="L438" s="2">
        <f>IF(ISNUMBER('Penn Run'!L179),'Penn Run'!L179,"")</f>
        <v>7.29</v>
      </c>
      <c r="M438" s="2">
        <f>IF(ISNUMBER('Penn Run'!M179),'Penn Run'!M179,"")</f>
        <v>6.7</v>
      </c>
      <c r="N438" s="4">
        <f>IF(ISNUMBER('Penn Run'!N179),'Penn Run'!N179,"")</f>
        <v>170</v>
      </c>
      <c r="O438" s="2" t="str">
        <f>IF(ISNUMBER('Penn Run'!O179),'Penn Run'!O179,"")</f>
        <v/>
      </c>
      <c r="P438" s="2">
        <f>IF(ISNUMBER('Penn Run'!P179),'Penn Run'!P179,"")</f>
        <v>6.7</v>
      </c>
      <c r="Q438" s="2" t="str">
        <f>IF(ISNUMBER('Penn Run'!Q179),'Penn Run'!Q179,"")</f>
        <v/>
      </c>
      <c r="R438" s="4">
        <f>IF(ISNUMBER('Penn Run'!R179),'Penn Run'!R179,"")</f>
        <v>40</v>
      </c>
      <c r="S438" s="4">
        <f>IF(ISNUMBER('Penn Run'!S179),'Penn Run'!S179,"")</f>
        <v>-26.6</v>
      </c>
      <c r="T438" s="4" cm="1">
        <f t="array" ref="T438">_xlfn.IFS(L438&lt;=5,IF(ISNUMBER(X438)=TRUE,X438*1.79+AA438*1.8+Z438*5.56+50000*(10^-L438)-R438,1.79+AA438*1.8+Z438*5.56+50000*(10^-L438)-R438),L438&gt;5,IF(ISNUMBER(X438)=TRUE,X438*1.79+AA438*1.8+50000*(10^-L438)-R438,AA438*1.8+50000*(10^-L438)-R438))</f>
        <v>-39.817935693080045</v>
      </c>
      <c r="U438" s="2" t="str">
        <f>IF(ISNUMBER('Penn Run'!U179),'Penn Run'!U179,"")</f>
        <v/>
      </c>
      <c r="V438" s="2" t="str">
        <f>IF(ISNUMBER('Penn Run'!V179),'Penn Run'!V179,"")</f>
        <v/>
      </c>
      <c r="W438" s="3">
        <f>IF(ISNUMBER('Penn Run'!W179),'Penn Run'!W179,"")</f>
        <v>0.3</v>
      </c>
      <c r="X438" s="3">
        <f>IF(ISNUMBER('Penn Run'!X179),'Penn Run'!X179,"")</f>
        <v>0.05</v>
      </c>
      <c r="Z438" s="3">
        <f>IF(ISNUMBER('Penn Run'!Z179),'Penn Run'!Z179,"")</f>
        <v>0.5</v>
      </c>
      <c r="AA438" s="3">
        <f>IF(ISNUMBER('Penn Run'!AA179),'Penn Run'!AA179,"")</f>
        <v>0.05</v>
      </c>
      <c r="AB438" s="4">
        <f>IF(ISNUMBER('Penn Run'!AB179),'Penn Run'!AB179,"")</f>
        <v>27.3</v>
      </c>
      <c r="AC438" s="2" t="str">
        <f>IF(ISNUMBER('Penn Run'!AC179),'Penn Run'!AC179,"")</f>
        <v/>
      </c>
      <c r="AD438" s="2" t="str">
        <f>IF(ISNUMBER('Penn Run'!AD179),'Penn Run'!AD179,"")</f>
        <v/>
      </c>
      <c r="AE438" s="2" t="str">
        <f>IF(ISNUMBER('Penn Run'!AE179),'Penn Run'!AE179,"")</f>
        <v/>
      </c>
      <c r="AF438" s="2" t="str">
        <f>IF(ISNUMBER('Penn Run'!AF179),'Penn Run'!AF179,"")</f>
        <v/>
      </c>
      <c r="AG438" s="2" t="str">
        <f>IF(ISNUMBER('Penn Run'!AG179),'Penn Run'!AG179,"")</f>
        <v/>
      </c>
      <c r="AH438" s="2" t="str">
        <f>IF(ISNUMBER('Penn Run'!AH179),'Penn Run'!AH179,"")</f>
        <v/>
      </c>
      <c r="AI438" s="2" t="str">
        <f>IF(ISNUMBER('Penn Run'!AI179),'Penn Run'!AI179,"")</f>
        <v/>
      </c>
      <c r="AJ438" s="2" t="str">
        <f>IF(ISNUMBER('Penn Run'!AJ179),'Penn Run'!AJ179,"")</f>
        <v/>
      </c>
      <c r="AK438" s="2" t="str">
        <f>IF(ISNUMBER('Penn Run'!AK179),'Penn Run'!AK179,"")</f>
        <v/>
      </c>
      <c r="AL438" s="2">
        <f>IF(ISNUMBER('Penn Run'!AL179),'Penn Run'!AL179,"")</f>
        <v>110</v>
      </c>
      <c r="AM438" s="2" t="str">
        <f>IF(ISNUMBER('Penn Run'!AM179),'Penn Run'!AM179,"")</f>
        <v/>
      </c>
      <c r="AN438" s="4">
        <f>IF(ISNUMBER('Penn Run'!AN179),'Penn Run'!AN179,"")</f>
        <v>-1221.0932160000002</v>
      </c>
      <c r="AO438" s="4">
        <f>IF(ISNUMBER('Penn Run'!AO179),'Penn Run'!AO179,"")</f>
        <v>13.771728</v>
      </c>
      <c r="AP438" s="4">
        <f>IF(ISNUMBER('Penn Run'!AP179),'Penn Run'!AP179,"")</f>
        <v>22.95288</v>
      </c>
      <c r="AQ438" s="4">
        <f>IF(ISNUMBER('Penn Run'!AQ179),'Penn Run'!AQ179,"")</f>
        <v>2.2952880000000002</v>
      </c>
      <c r="AR438" s="4">
        <f>IF(ISNUMBER('Penn Run'!AR179),'Penn Run'!AR179,"")</f>
        <v>1253.2272480000001</v>
      </c>
      <c r="AS438" s="1">
        <f>0.012*R438*J438</f>
        <v>1836.2303999999999</v>
      </c>
    </row>
    <row r="439" spans="1:48" x14ac:dyDescent="0.3">
      <c r="A439" s="5">
        <v>45527</v>
      </c>
      <c r="B439" s="5"/>
      <c r="C439" t="s">
        <v>204</v>
      </c>
      <c r="E439" t="s">
        <v>212</v>
      </c>
      <c r="F439" s="5"/>
      <c r="G439" s="5"/>
      <c r="H439" s="5" t="str">
        <f>'Penn Run'!H180</f>
        <v>Hedin/ICCD</v>
      </c>
      <c r="I439" s="5"/>
      <c r="J439" s="87">
        <v>278</v>
      </c>
      <c r="K439" s="2" t="s">
        <v>96</v>
      </c>
      <c r="L439" s="2">
        <v>7.91</v>
      </c>
      <c r="M439" s="2">
        <v>7.3</v>
      </c>
      <c r="N439" s="4">
        <v>392</v>
      </c>
      <c r="O439" s="2"/>
      <c r="P439" s="2">
        <v>15</v>
      </c>
      <c r="Q439" s="4">
        <v>103</v>
      </c>
      <c r="R439" s="40">
        <v>104.6</v>
      </c>
      <c r="S439" s="40">
        <v>-84.6</v>
      </c>
      <c r="T439" s="4" cm="1">
        <f t="array" ref="T439">_xlfn.IFS(L439&lt;=5,IF(ISNUMBER(X439)=TRUE,X439*1.79+AA439*1.8+Z439*5.56+50000*(10^-L439)-Q439,1.79+AA439*1.8+Z439*5.56+50000*(10^-L439)-Q439),L439&gt;5,IF(ISNUMBER(X439)=TRUE,X439*1.79+AA439*1.8+50000*(10^-L439)-Q439,AA439*1.8+50000*(10^-L439)-Q439))</f>
        <v>-102.8198848656146</v>
      </c>
      <c r="W439" s="8">
        <v>0.3</v>
      </c>
      <c r="X439" s="8">
        <v>0.05</v>
      </c>
      <c r="Y439" s="8"/>
      <c r="Z439" s="8">
        <v>0.5</v>
      </c>
      <c r="AA439" s="8">
        <v>0.05</v>
      </c>
      <c r="AB439" s="40">
        <v>64.599999999999994</v>
      </c>
      <c r="AC439" s="2"/>
      <c r="AD439" s="2"/>
      <c r="AE439" s="2"/>
      <c r="AF439" s="2"/>
      <c r="AG439" s="2"/>
      <c r="AJ439" s="2"/>
      <c r="AK439" s="6" t="s">
        <v>363</v>
      </c>
      <c r="AL439" s="6">
        <v>218</v>
      </c>
      <c r="AN439" s="1">
        <f>S439*J439*0.012</f>
        <v>-282.22559999999999</v>
      </c>
      <c r="AO439" s="1">
        <f>W439*J439*0.012</f>
        <v>1.0007999999999999</v>
      </c>
      <c r="AP439" s="1">
        <f>Z439*J439*0.012</f>
        <v>1.6679999999999999</v>
      </c>
      <c r="AQ439" s="1">
        <f>AA439*J439*0.012</f>
        <v>0.1668</v>
      </c>
      <c r="AR439" s="1">
        <f>AB439*J439*0.012</f>
        <v>215.50559999999999</v>
      </c>
      <c r="AS439" s="1">
        <f t="shared" ref="AS439" si="196">0.012*R439*J439</f>
        <v>348.94559999999996</v>
      </c>
    </row>
    <row r="440" spans="1:48" x14ac:dyDescent="0.3">
      <c r="A440" s="5">
        <v>45595</v>
      </c>
      <c r="B440" s="5"/>
      <c r="C440" t="s">
        <v>204</v>
      </c>
      <c r="E440" t="s">
        <v>212</v>
      </c>
      <c r="F440" s="5"/>
      <c r="G440" s="5"/>
      <c r="H440" s="5" t="s">
        <v>218</v>
      </c>
      <c r="I440" s="5"/>
      <c r="J440" s="87">
        <v>203.23</v>
      </c>
      <c r="K440" s="2" t="s">
        <v>96</v>
      </c>
      <c r="L440" s="2">
        <v>7.28</v>
      </c>
      <c r="M440" s="2">
        <v>7.7</v>
      </c>
      <c r="N440" s="4">
        <v>438</v>
      </c>
      <c r="O440" s="2"/>
      <c r="P440" s="2">
        <v>12.4</v>
      </c>
      <c r="Q440" s="4">
        <v>116</v>
      </c>
      <c r="R440" s="40">
        <v>129.6</v>
      </c>
      <c r="S440" s="40">
        <v>-110.8</v>
      </c>
      <c r="T440" s="4" cm="1">
        <f t="array" ref="T440">_xlfn.IFS(L440&lt;=5,IF(ISNUMBER(X440)=TRUE,X440*1.79+AA440*1.8+Z440*5.56+50000*(10^-L440)-Q440,1.79+AA440*1.8+Z440*5.56+50000*(10^-L440)-Q440),L440&gt;5,IF(ISNUMBER(X440)=TRUE,X440*1.79+AA440*1.8+50000*(10^-L440)-Q440,AA440*1.8+50000*(10^-L440)-Q440))</f>
        <v>-115.81787596269875</v>
      </c>
      <c r="W440" s="8">
        <v>0.3</v>
      </c>
      <c r="X440" s="8">
        <v>0.05</v>
      </c>
      <c r="Y440" s="8"/>
      <c r="Z440" s="8">
        <v>0.5</v>
      </c>
      <c r="AA440" s="8">
        <v>0.05</v>
      </c>
      <c r="AB440" s="40"/>
      <c r="AC440" s="2"/>
      <c r="AD440" s="2"/>
      <c r="AE440" s="2"/>
      <c r="AF440" s="2"/>
      <c r="AG440" s="2"/>
      <c r="AJ440" s="2"/>
      <c r="AK440" s="6" t="s">
        <v>363</v>
      </c>
      <c r="AL440" s="6">
        <v>258</v>
      </c>
      <c r="AN440" s="1">
        <f>S440*J440*0.012</f>
        <v>-270.214608</v>
      </c>
      <c r="AO440" s="1">
        <f>W440*J440*0.012</f>
        <v>0.73162799999999995</v>
      </c>
      <c r="AP440" s="1">
        <f>Z440*J440*0.012</f>
        <v>1.2193799999999999</v>
      </c>
      <c r="AQ440" s="1">
        <f>AA440*J440*0.012</f>
        <v>0.121938</v>
      </c>
      <c r="AR440" s="1">
        <f>AB440*J440*0.012</f>
        <v>0</v>
      </c>
      <c r="AS440" s="1">
        <f t="shared" ref="AS440" si="197">0.012*R440*J440</f>
        <v>316.06329599999998</v>
      </c>
    </row>
    <row r="441" spans="1:48" x14ac:dyDescent="0.3">
      <c r="A441"/>
      <c r="B441" s="6"/>
      <c r="I441"/>
      <c r="J441"/>
      <c r="L441"/>
      <c r="M441" s="6"/>
      <c r="N441"/>
      <c r="O441"/>
      <c r="P441"/>
      <c r="Q441"/>
      <c r="R441" s="6"/>
      <c r="S441" s="6"/>
      <c r="T441"/>
      <c r="U441" s="6"/>
      <c r="V441" s="6"/>
      <c r="W441"/>
      <c r="X441"/>
      <c r="Y441"/>
      <c r="Z441"/>
      <c r="AA441"/>
      <c r="AB441" s="6"/>
      <c r="AC441"/>
      <c r="AD441"/>
      <c r="AE441"/>
      <c r="AF441"/>
      <c r="AG441"/>
      <c r="AH441"/>
      <c r="AI441"/>
      <c r="AJ441"/>
      <c r="AK441" s="6"/>
      <c r="AL441" s="6"/>
      <c r="AM441"/>
      <c r="AN441"/>
      <c r="AO441"/>
      <c r="AP441"/>
      <c r="AQ441"/>
      <c r="AR441"/>
      <c r="AS441"/>
    </row>
    <row r="442" spans="1:48" x14ac:dyDescent="0.3">
      <c r="A442" s="5">
        <v>45169</v>
      </c>
      <c r="B442" s="12" t="s">
        <v>43</v>
      </c>
      <c r="C442" t="s">
        <v>304</v>
      </c>
      <c r="E442" t="s">
        <v>305</v>
      </c>
      <c r="H442" t="s">
        <v>256</v>
      </c>
      <c r="L442" s="2">
        <v>7.3</v>
      </c>
      <c r="M442" s="2">
        <v>6.8</v>
      </c>
      <c r="N442" s="1">
        <v>322</v>
      </c>
      <c r="O442" s="1">
        <v>315</v>
      </c>
      <c r="R442" s="40">
        <v>77.8</v>
      </c>
      <c r="S442" s="40">
        <v>-59.6</v>
      </c>
      <c r="T442" s="4" cm="1">
        <f t="array" ref="T442">_xlfn.IFS(L442&lt;=5,IF(ISNUMBER(X442)=TRUE,X442*1.79+AA442*1.8+Z442*5.56+50000*(10^-L442)-R442,1.79+AA442*1.8+Z442*5.56+50000*(10^-L442)-R442),L442&gt;5,IF(ISNUMBER(X442)=TRUE,X442*1.79+AA442*1.8+50000*(10^-L442)-R442,AA442*1.8+50000*(10^-L442)-R442))</f>
        <v>-77.003624063831865</v>
      </c>
      <c r="U442" s="6"/>
      <c r="V442" s="6"/>
      <c r="W442" s="6">
        <v>1.21</v>
      </c>
      <c r="X442" s="6">
        <v>0.35299999999999998</v>
      </c>
      <c r="Y442" s="6"/>
      <c r="Z442" s="6">
        <v>0.3</v>
      </c>
      <c r="AA442" s="6">
        <v>0.09</v>
      </c>
      <c r="AB442" s="40">
        <v>47.15</v>
      </c>
      <c r="AC442" s="8">
        <v>38</v>
      </c>
      <c r="AD442" s="6">
        <v>10.8</v>
      </c>
      <c r="AE442" s="6">
        <v>8.6</v>
      </c>
      <c r="AF442" s="8">
        <v>2.0699999999999998</v>
      </c>
      <c r="AG442" s="6">
        <v>15.4</v>
      </c>
      <c r="AH442" s="6">
        <v>0.05</v>
      </c>
      <c r="AI442" s="6">
        <v>0.03</v>
      </c>
      <c r="AJ442" s="6">
        <v>0.2</v>
      </c>
      <c r="AK442" s="6"/>
      <c r="AL442" s="6"/>
    </row>
    <row r="443" spans="1:48" x14ac:dyDescent="0.3">
      <c r="U443" s="6"/>
      <c r="V443" s="6"/>
      <c r="W443" s="6"/>
      <c r="X443" s="6"/>
      <c r="Y443" s="6"/>
      <c r="Z443" s="6"/>
      <c r="AA443" s="6"/>
      <c r="AB443" s="40"/>
      <c r="AC443" s="8"/>
      <c r="AD443" s="6"/>
      <c r="AE443" s="6"/>
      <c r="AF443" s="8"/>
      <c r="AG443" s="6"/>
      <c r="AH443" s="6"/>
      <c r="AI443" s="6"/>
      <c r="AJ443" s="6"/>
      <c r="AK443" s="6"/>
      <c r="AL443" s="6"/>
    </row>
    <row r="444" spans="1:48" x14ac:dyDescent="0.3">
      <c r="A444" s="5">
        <v>45527</v>
      </c>
      <c r="B444" s="12" t="s">
        <v>20</v>
      </c>
      <c r="C444" t="s">
        <v>374</v>
      </c>
      <c r="E444" t="s">
        <v>375</v>
      </c>
      <c r="H444" t="s">
        <v>245</v>
      </c>
      <c r="J444" s="1">
        <v>300</v>
      </c>
      <c r="K444" t="s">
        <v>96</v>
      </c>
      <c r="L444" s="2">
        <v>7.42</v>
      </c>
      <c r="M444" s="2">
        <v>6.8</v>
      </c>
      <c r="N444" s="1">
        <v>366</v>
      </c>
      <c r="R444" s="4">
        <v>101.4</v>
      </c>
      <c r="S444" s="4">
        <v>-82.6</v>
      </c>
      <c r="T444" s="4" cm="1">
        <f t="array" ref="T444">_xlfn.IFS(L444&lt;=5,IF(ISNUMBER(X444)=TRUE,X444*1.79+AA444*1.8+Z444*5.56+50000*(10^-L444)-R444,1.79+AA444*1.8+Z444*5.56+50000*(10^-L444)-R444),L444&gt;5,IF(ISNUMBER(X444)=TRUE,X444*1.79+AA444*1.8+50000*(10^-L444)-R444,AA444*1.8+50000*(10^-L444)-R444))</f>
        <v>-101.04438905301841</v>
      </c>
      <c r="U444" s="6"/>
      <c r="V444" s="6"/>
      <c r="W444" s="3">
        <v>1.2430000000000001</v>
      </c>
      <c r="X444" s="3">
        <v>8.8999999999999996E-2</v>
      </c>
      <c r="Z444" s="3">
        <v>0.5</v>
      </c>
      <c r="AA444" s="3">
        <v>0.108</v>
      </c>
      <c r="AB444" s="4">
        <v>83.6</v>
      </c>
      <c r="AC444" s="8"/>
      <c r="AD444" s="6"/>
      <c r="AE444" s="6"/>
      <c r="AF444" s="8"/>
      <c r="AG444" s="6"/>
      <c r="AH444" s="6"/>
      <c r="AI444" s="6"/>
      <c r="AJ444" s="6"/>
      <c r="AK444" s="6" t="s">
        <v>363</v>
      </c>
      <c r="AL444" s="4">
        <v>232</v>
      </c>
      <c r="AN444" s="1">
        <f>S444*J444*0.012</f>
        <v>-297.36</v>
      </c>
      <c r="AO444" s="1">
        <f>W444*J444*0.012</f>
        <v>4.4748000000000001</v>
      </c>
      <c r="AP444" s="1">
        <f>Z444*J444*0.012</f>
        <v>1.8</v>
      </c>
      <c r="AQ444" s="1">
        <f>AA444*J444*0.012</f>
        <v>0.38879999999999998</v>
      </c>
      <c r="AR444" s="1">
        <f>AB444*J444*0.012</f>
        <v>300.95999999999998</v>
      </c>
      <c r="AS444" s="1">
        <f t="shared" ref="AS444" si="198">0.012*R444*J444</f>
        <v>365.04</v>
      </c>
    </row>
    <row r="445" spans="1:48" x14ac:dyDescent="0.3">
      <c r="A445" s="5">
        <v>45595</v>
      </c>
      <c r="B445" s="12" t="s">
        <v>22</v>
      </c>
      <c r="C445" t="s">
        <v>374</v>
      </c>
      <c r="E445" t="s">
        <v>375</v>
      </c>
      <c r="H445" t="s">
        <v>245</v>
      </c>
      <c r="J445" s="1">
        <v>520.84</v>
      </c>
      <c r="K445" t="s">
        <v>96</v>
      </c>
      <c r="L445" s="2">
        <v>6.98</v>
      </c>
      <c r="M445" s="2">
        <v>7.2</v>
      </c>
      <c r="N445" s="1">
        <v>454</v>
      </c>
      <c r="P445" s="3">
        <v>12.6</v>
      </c>
      <c r="Q445" s="4">
        <v>114</v>
      </c>
      <c r="R445" s="4">
        <v>118.6</v>
      </c>
      <c r="S445" s="4">
        <v>-98.2</v>
      </c>
      <c r="T445" s="4" cm="1">
        <f t="array" ref="T445">_xlfn.IFS(L445&lt;=5,IF(ISNUMBER(X445)=TRUE,X445*1.79+AA445*1.8+Z445*5.56+50000*(10^-L445)-Q445,1.79+AA445*1.8+Z445*5.56+50000*(10^-L445)-Q445),L445&gt;5,IF(ISNUMBER(X445)=TRUE,X445*1.79+AA445*1.8+50000*(10^-L445)-Q445,AA445*1.8+50000*(10^-L445)-Q445))</f>
        <v>-113.42002435725975</v>
      </c>
      <c r="U445" s="6"/>
      <c r="V445" s="6"/>
      <c r="W445" s="3">
        <v>2.7829999999999999</v>
      </c>
      <c r="X445" s="3">
        <v>0.126</v>
      </c>
      <c r="Z445" s="3">
        <v>0.5</v>
      </c>
      <c r="AA445" s="3">
        <v>0.19400000000000001</v>
      </c>
      <c r="AB445" s="4">
        <v>83.2</v>
      </c>
      <c r="AC445" s="8"/>
      <c r="AD445" s="6"/>
      <c r="AE445" s="6"/>
      <c r="AF445" s="8"/>
      <c r="AG445" s="6"/>
      <c r="AH445" s="6"/>
      <c r="AI445" s="6"/>
      <c r="AJ445" s="6"/>
      <c r="AK445" s="6" t="s">
        <v>363</v>
      </c>
      <c r="AL445" s="4">
        <v>274</v>
      </c>
      <c r="AN445" s="1">
        <f>S445*J445*0.012</f>
        <v>-613.75785600000006</v>
      </c>
      <c r="AO445" s="1">
        <f>W445*J445*0.012</f>
        <v>17.393972640000001</v>
      </c>
      <c r="AP445" s="1">
        <f>Z445*J445*0.012</f>
        <v>3.1250400000000003</v>
      </c>
      <c r="AQ445" s="1">
        <f>AA445*J445*0.012</f>
        <v>1.2125155200000002</v>
      </c>
      <c r="AR445" s="1">
        <f>AB445*J445*0.012</f>
        <v>520.00665600000013</v>
      </c>
      <c r="AS445" s="1">
        <f t="shared" ref="AS445" si="199">0.012*R445*J445</f>
        <v>741.25948800000003</v>
      </c>
    </row>
    <row r="446" spans="1:48" x14ac:dyDescent="0.3">
      <c r="A446"/>
      <c r="B446" s="6"/>
      <c r="I446"/>
      <c r="J446"/>
      <c r="L446"/>
      <c r="M446" s="6"/>
      <c r="N446"/>
      <c r="O446"/>
      <c r="P446"/>
      <c r="Q446"/>
      <c r="R446" s="6"/>
      <c r="S446" s="6"/>
      <c r="T446"/>
      <c r="U446" s="6"/>
      <c r="V446" s="6"/>
      <c r="W446"/>
      <c r="X446"/>
      <c r="Y446"/>
      <c r="Z446"/>
      <c r="AA446"/>
      <c r="AB446" s="6"/>
      <c r="AC446"/>
      <c r="AD446"/>
      <c r="AE446"/>
      <c r="AF446"/>
      <c r="AG446"/>
      <c r="AH446"/>
      <c r="AI446"/>
      <c r="AJ446"/>
      <c r="AK446" s="6"/>
      <c r="AL446" s="6"/>
      <c r="AM446"/>
      <c r="AN446"/>
      <c r="AO446"/>
      <c r="AP446"/>
      <c r="AQ446"/>
      <c r="AR446"/>
      <c r="AS446"/>
    </row>
    <row r="447" spans="1:48" x14ac:dyDescent="0.3">
      <c r="A447" s="5">
        <v>45098</v>
      </c>
      <c r="B447" s="12" t="s">
        <v>79</v>
      </c>
      <c r="C447" t="s">
        <v>285</v>
      </c>
      <c r="E447" t="s">
        <v>287</v>
      </c>
      <c r="F447" s="11"/>
      <c r="G447" s="11"/>
      <c r="H447" t="s">
        <v>93</v>
      </c>
      <c r="J447" s="1">
        <v>2.6</v>
      </c>
      <c r="K447" t="s">
        <v>96</v>
      </c>
      <c r="L447" s="2">
        <v>6.38</v>
      </c>
      <c r="M447" s="2">
        <v>5.9</v>
      </c>
      <c r="N447" s="1">
        <v>618</v>
      </c>
      <c r="O447" s="1">
        <v>675</v>
      </c>
      <c r="P447" s="3">
        <v>12.4</v>
      </c>
      <c r="Q447" s="4">
        <v>56</v>
      </c>
      <c r="R447" s="40">
        <v>22.4</v>
      </c>
      <c r="S447" s="40">
        <v>39.6</v>
      </c>
      <c r="T447" s="4" cm="1">
        <f t="array" ref="T447">_xlfn.IFS(L447&lt;=5,IF(ISNUMBER(X447)=TRUE,X447*1.79+AA447*1.8+Z447*5.56+50000*(10^-L447)-R447,1.79+AA447*1.8+Z447*5.56+50000*(10^-L447)-R447),L447&gt;5,IF(ISNUMBER(X447)=TRUE,X447*1.79+AA447*1.8+50000*(10^-L447)-R447,AA447*1.8+50000*(10^-L447)-R447))</f>
        <v>53.43397346917353</v>
      </c>
      <c r="U447" s="6"/>
      <c r="V447" s="6"/>
      <c r="W447" s="40">
        <v>43.1</v>
      </c>
      <c r="X447" s="40">
        <v>39.347000000000001</v>
      </c>
      <c r="Y447" s="40"/>
      <c r="Z447" s="8">
        <v>0.3</v>
      </c>
      <c r="AA447" s="8">
        <v>2.99</v>
      </c>
      <c r="AB447" s="6"/>
      <c r="AC447" s="6">
        <v>77.099999999999994</v>
      </c>
      <c r="AD447" s="8">
        <v>30</v>
      </c>
      <c r="AE447" s="8">
        <v>2.92</v>
      </c>
      <c r="AF447" s="8">
        <v>2.19</v>
      </c>
      <c r="AG447" s="8">
        <v>4</v>
      </c>
      <c r="AH447" s="6">
        <v>0.05</v>
      </c>
      <c r="AI447" s="41">
        <v>0.03</v>
      </c>
      <c r="AJ447" s="6">
        <v>0.2</v>
      </c>
      <c r="AK447" s="6"/>
      <c r="AL447" s="6"/>
      <c r="AN447" s="1">
        <f t="shared" ref="AN447:AN452" si="200">S447*J447*0.012</f>
        <v>1.2355200000000002</v>
      </c>
      <c r="AO447" s="1">
        <f t="shared" ref="AO447" si="201">W447*J447*0.012</f>
        <v>1.3447200000000001</v>
      </c>
      <c r="AP447" s="1">
        <f t="shared" ref="AP447" si="202">Z447*J447*0.012</f>
        <v>9.3600000000000003E-3</v>
      </c>
      <c r="AQ447" s="1">
        <f t="shared" ref="AQ447" si="203">AA447*J447*0.012</f>
        <v>9.328800000000001E-2</v>
      </c>
      <c r="AR447" s="1">
        <f t="shared" ref="AR447" si="204">AB447*J447*0.012</f>
        <v>0</v>
      </c>
      <c r="AS447" s="1">
        <f>0.012*R447*J447</f>
        <v>0.69887999999999995</v>
      </c>
    </row>
    <row r="448" spans="1:48" x14ac:dyDescent="0.3">
      <c r="A448" s="5">
        <v>45169</v>
      </c>
      <c r="B448" s="12" t="s">
        <v>46</v>
      </c>
      <c r="C448" t="s">
        <v>285</v>
      </c>
      <c r="E448" t="s">
        <v>287</v>
      </c>
      <c r="F448" s="11"/>
      <c r="G448" s="11"/>
      <c r="H448" t="s">
        <v>256</v>
      </c>
      <c r="J448" s="1">
        <v>1.3</v>
      </c>
      <c r="K448" t="s">
        <v>96</v>
      </c>
      <c r="L448" s="2">
        <v>6.14</v>
      </c>
      <c r="M448" s="2">
        <v>5.9</v>
      </c>
      <c r="N448" s="1">
        <v>718</v>
      </c>
      <c r="O448" s="1">
        <v>664</v>
      </c>
      <c r="R448" s="40">
        <v>30.4</v>
      </c>
      <c r="S448" s="40">
        <v>51.8</v>
      </c>
      <c r="T448" s="4" cm="1">
        <f t="array" ref="T448">_xlfn.IFS(L448&lt;=5,IF(ISNUMBER(X448)=TRUE,X448*1.79+AA448*1.8+Z448*5.56+50000*(10^-L448)-R448,1.79+AA448*1.8+Z448*5.56+50000*(10^-L448)-R448),L448&gt;5,IF(ISNUMBER(X448)=TRUE,X448*1.79+AA448*1.8+50000*(10^-L448)-R448,AA448*1.8+50000*(10^-L448)-R448))</f>
        <v>49.17394179800376</v>
      </c>
      <c r="U448" s="6"/>
      <c r="V448" s="6"/>
      <c r="W448" s="40">
        <v>46.3</v>
      </c>
      <c r="X448" s="40">
        <v>41.468000000000004</v>
      </c>
      <c r="Y448" s="40"/>
      <c r="Z448" s="8">
        <v>0.3</v>
      </c>
      <c r="AA448" s="8">
        <v>2.95</v>
      </c>
      <c r="AB448" s="6">
        <v>320</v>
      </c>
      <c r="AC448" s="6">
        <v>77.2</v>
      </c>
      <c r="AD448" s="6">
        <v>29.4</v>
      </c>
      <c r="AE448" s="6">
        <v>3</v>
      </c>
      <c r="AF448" s="8">
        <v>2.16</v>
      </c>
      <c r="AG448" s="8">
        <v>4</v>
      </c>
      <c r="AH448" s="6">
        <v>0.05</v>
      </c>
      <c r="AI448" s="41">
        <v>0.03</v>
      </c>
      <c r="AJ448" s="6">
        <v>0.2</v>
      </c>
      <c r="AK448" s="6"/>
      <c r="AL448" s="6"/>
      <c r="AN448" s="1">
        <f t="shared" si="200"/>
        <v>0.80808000000000002</v>
      </c>
      <c r="AO448" s="1">
        <f t="shared" ref="AO448" si="205">W448*J448*0.012</f>
        <v>0.72228000000000003</v>
      </c>
      <c r="AP448" s="1">
        <f t="shared" ref="AP448" si="206">Z448*J448*0.012</f>
        <v>4.6800000000000001E-3</v>
      </c>
      <c r="AQ448" s="1">
        <f t="shared" ref="AQ448" si="207">AA448*J448*0.012</f>
        <v>4.6020000000000005E-2</v>
      </c>
      <c r="AR448" s="1">
        <f t="shared" ref="AR448" si="208">AB448*J448*0.012</f>
        <v>4.992</v>
      </c>
      <c r="AS448" s="1">
        <f t="shared" ref="AS448:AS463" si="209">0.012*R448*J448</f>
        <v>0.47424000000000005</v>
      </c>
    </row>
    <row r="449" spans="1:45" x14ac:dyDescent="0.3">
      <c r="A449" s="5">
        <v>45352</v>
      </c>
      <c r="C449" t="s">
        <v>285</v>
      </c>
      <c r="E449" t="s">
        <v>287</v>
      </c>
      <c r="F449" s="11"/>
      <c r="G449" s="11"/>
      <c r="H449" t="s">
        <v>338</v>
      </c>
      <c r="J449" s="1">
        <f>'Penn Run'!J104</f>
        <v>2.79</v>
      </c>
      <c r="K449" s="1" t="str">
        <f>'Penn Run'!K104</f>
        <v>M</v>
      </c>
      <c r="L449" s="43">
        <f>'Penn Run'!L104</f>
        <v>6.25</v>
      </c>
      <c r="M449" s="43">
        <f>'Penn Run'!M104</f>
        <v>5.8</v>
      </c>
      <c r="N449" s="1">
        <f>'Penn Run'!N104</f>
        <v>588</v>
      </c>
      <c r="O449" s="1">
        <f>'Penn Run'!O104</f>
        <v>0</v>
      </c>
      <c r="P449" s="1">
        <f>'Penn Run'!P104</f>
        <v>8.6</v>
      </c>
      <c r="Q449" s="1">
        <f>'Penn Run'!Q104</f>
        <v>0</v>
      </c>
      <c r="R449" s="1">
        <f>'Penn Run'!R104</f>
        <v>39</v>
      </c>
      <c r="S449" s="1">
        <f>'Penn Run'!S104</f>
        <v>48.6</v>
      </c>
      <c r="T449" s="1">
        <f>'Penn Run'!T104</f>
        <v>39.013341548545952</v>
      </c>
      <c r="U449" s="1">
        <f>'Penn Run'!U104</f>
        <v>0</v>
      </c>
      <c r="V449" s="1">
        <f>'Penn Run'!V104</f>
        <v>0</v>
      </c>
      <c r="W449" s="1">
        <f>'Penn Run'!W104</f>
        <v>42.887</v>
      </c>
      <c r="X449" s="1">
        <f>'Penn Run'!X104</f>
        <v>40.225000000000001</v>
      </c>
      <c r="Y449" s="1"/>
      <c r="Z449" s="31">
        <f>'Penn Run'!Z104</f>
        <v>0.5</v>
      </c>
      <c r="AA449" s="31">
        <f>'Penn Run'!AA104</f>
        <v>3.32</v>
      </c>
      <c r="AB449" s="1">
        <f>'Penn Run'!AB104</f>
        <v>326</v>
      </c>
      <c r="AC449" s="6"/>
      <c r="AD449" s="6"/>
      <c r="AE449" s="6"/>
      <c r="AF449" s="8"/>
      <c r="AG449" s="8"/>
      <c r="AH449" s="6"/>
      <c r="AI449" s="41"/>
      <c r="AJ449" s="6"/>
      <c r="AK449" s="6"/>
      <c r="AL449" s="6"/>
      <c r="AN449" s="1">
        <f t="shared" si="200"/>
        <v>1.6271279999999999</v>
      </c>
      <c r="AO449" s="1">
        <f t="shared" ref="AO449" si="210">W449*J449*0.012</f>
        <v>1.4358567600000001</v>
      </c>
      <c r="AP449" s="1">
        <f t="shared" ref="AP449" si="211">Z449*J449*0.012</f>
        <v>1.6740000000000001E-2</v>
      </c>
      <c r="AQ449" s="1">
        <f t="shared" ref="AQ449" si="212">AA449*J449*0.012</f>
        <v>0.11115360000000001</v>
      </c>
      <c r="AR449" s="1">
        <f t="shared" ref="AR449" si="213">AB449*J449*0.012</f>
        <v>10.914479999999999</v>
      </c>
      <c r="AS449" s="1">
        <f t="shared" ref="AS449" si="214">0.012*R449*J449</f>
        <v>1.30572</v>
      </c>
    </row>
    <row r="450" spans="1:45" x14ac:dyDescent="0.3">
      <c r="A450" s="5">
        <v>45366</v>
      </c>
      <c r="B450" s="12" t="s">
        <v>20</v>
      </c>
      <c r="C450" t="s">
        <v>285</v>
      </c>
      <c r="E450" t="s">
        <v>287</v>
      </c>
      <c r="F450" s="11"/>
      <c r="G450" s="11"/>
      <c r="H450" t="s">
        <v>338</v>
      </c>
      <c r="J450" s="1">
        <v>3</v>
      </c>
      <c r="K450" t="s">
        <v>96</v>
      </c>
      <c r="L450" s="2">
        <v>6.16</v>
      </c>
      <c r="M450" s="2">
        <v>5.9</v>
      </c>
      <c r="N450" s="4">
        <v>597</v>
      </c>
      <c r="O450" s="4"/>
      <c r="P450" s="4"/>
      <c r="R450" s="4">
        <v>29.2</v>
      </c>
      <c r="S450" s="4">
        <v>32.6</v>
      </c>
      <c r="T450" s="4" cm="1">
        <f t="array" ref="T450">_xlfn.IFS(L450&lt;=5,IF(ISNUMBER(X450)=TRUE,X450*1.79+AA450*1.8+Z450*5.56+50000*(10^-L450)-R450,1.79+AA450*1.8+Z450*5.56+50000*(10^-L450)-R450),L450&gt;5,IF(ISNUMBER(X450)=TRUE,X450*1.79+AA450*1.8+50000*(10^-L450)-R450,AA450*1.8+50000*(10^-L450)-R450))</f>
        <v>35.399471548545947</v>
      </c>
      <c r="U450" s="4"/>
      <c r="V450" s="4"/>
      <c r="W450" s="4">
        <v>42.329000000000001</v>
      </c>
      <c r="X450" s="4">
        <v>33.231999999999999</v>
      </c>
      <c r="Y450" s="4"/>
      <c r="Z450" s="100">
        <v>0.5</v>
      </c>
      <c r="AA450" s="31">
        <v>2.8220000000000001</v>
      </c>
      <c r="AB450" s="4">
        <v>268.89999999999998</v>
      </c>
      <c r="AC450" s="4"/>
      <c r="AD450" s="4"/>
      <c r="AE450" s="4"/>
      <c r="AF450" s="4"/>
      <c r="AG450" s="4"/>
      <c r="AH450" s="4"/>
      <c r="AI450" s="4"/>
      <c r="AJ450" s="4"/>
      <c r="AK450" s="4">
        <v>29</v>
      </c>
      <c r="AL450" s="4">
        <v>432</v>
      </c>
      <c r="AM450" s="4"/>
      <c r="AN450" s="1">
        <f t="shared" si="200"/>
        <v>1.1736000000000002</v>
      </c>
      <c r="AO450" s="1">
        <f>W450*J450*0.012</f>
        <v>1.523844</v>
      </c>
      <c r="AP450" s="1">
        <f t="shared" ref="AP450:AP455" si="215">Z450*J450*0.012</f>
        <v>1.8000000000000002E-2</v>
      </c>
      <c r="AQ450" s="1">
        <f t="shared" ref="AQ450:AQ455" si="216">AA450*J450*0.012</f>
        <v>0.10159200000000002</v>
      </c>
      <c r="AR450" s="1">
        <f t="shared" ref="AR450:AR455" si="217">AB450*J450*0.012</f>
        <v>9.6803999999999988</v>
      </c>
      <c r="AS450" s="1">
        <f t="shared" si="209"/>
        <v>1.0511999999999999</v>
      </c>
    </row>
    <row r="451" spans="1:45" x14ac:dyDescent="0.3">
      <c r="A451" s="5">
        <v>45392</v>
      </c>
      <c r="B451" s="12" t="s">
        <v>18</v>
      </c>
      <c r="C451" t="s">
        <v>285</v>
      </c>
      <c r="E451" t="s">
        <v>287</v>
      </c>
      <c r="F451" s="11"/>
      <c r="G451" s="11"/>
      <c r="H451" t="s">
        <v>338</v>
      </c>
      <c r="J451" s="1">
        <v>2.77</v>
      </c>
      <c r="K451" t="s">
        <v>96</v>
      </c>
      <c r="L451" s="2">
        <v>6.07</v>
      </c>
      <c r="M451" s="2">
        <v>6</v>
      </c>
      <c r="N451" s="4">
        <v>649</v>
      </c>
      <c r="O451" s="4"/>
      <c r="P451" s="4">
        <v>11.1</v>
      </c>
      <c r="Q451" s="4">
        <v>44</v>
      </c>
      <c r="R451" s="4">
        <v>28</v>
      </c>
      <c r="S451" s="4">
        <v>24.2</v>
      </c>
      <c r="T451" s="4" cm="1">
        <f t="array" ref="T451">_xlfn.IFS(L451&lt;=5,IF(ISNUMBER(X451)=TRUE,X451*1.79+AA451*1.8+Z451*5.56+50000*(10^-L451)-Q451,1.79+AA451*1.8+Z451*5.56+50000*(10^-L451)-Q451),L451&gt;5,IF(ISNUMBER(X451)=TRUE,X451*1.79+AA451*1.8+50000*(10^-L451)-Q451,AA451*1.8+50000*(10^-L451)-Q451))</f>
        <v>14.735296901910118</v>
      </c>
      <c r="U451" s="4"/>
      <c r="V451" s="4"/>
      <c r="W451" s="4">
        <v>35.116</v>
      </c>
      <c r="X451" s="4">
        <v>30.225999999999999</v>
      </c>
      <c r="Y451" s="4"/>
      <c r="Z451" s="100">
        <v>0.5</v>
      </c>
      <c r="AA451" s="31">
        <v>2.5489999999999999</v>
      </c>
      <c r="AB451" s="4">
        <v>278.60000000000002</v>
      </c>
      <c r="AC451" s="4"/>
      <c r="AD451" s="4"/>
      <c r="AE451" s="4"/>
      <c r="AF451" s="4"/>
      <c r="AG451" s="4"/>
      <c r="AH451" s="4"/>
      <c r="AI451" s="4"/>
      <c r="AJ451" s="4"/>
      <c r="AK451" s="4">
        <v>20</v>
      </c>
      <c r="AL451" s="4">
        <v>448</v>
      </c>
      <c r="AM451" s="4"/>
      <c r="AN451" s="1">
        <f t="shared" si="200"/>
        <v>0.8044079999999999</v>
      </c>
      <c r="AO451" s="1">
        <f>W451*J451*0.012</f>
        <v>1.1672558400000002</v>
      </c>
      <c r="AP451" s="1">
        <f t="shared" si="215"/>
        <v>1.6619999999999999E-2</v>
      </c>
      <c r="AQ451" s="1">
        <f t="shared" si="216"/>
        <v>8.472876E-2</v>
      </c>
      <c r="AR451" s="1">
        <f t="shared" si="217"/>
        <v>9.260664000000002</v>
      </c>
      <c r="AS451" s="1">
        <f t="shared" si="209"/>
        <v>0.9307200000000001</v>
      </c>
    </row>
    <row r="452" spans="1:45" x14ac:dyDescent="0.3">
      <c r="A452" s="5">
        <v>45442</v>
      </c>
      <c r="B452" s="12" t="s">
        <v>18</v>
      </c>
      <c r="C452" t="s">
        <v>285</v>
      </c>
      <c r="E452" t="s">
        <v>287</v>
      </c>
      <c r="F452" s="11"/>
      <c r="G452" s="11"/>
      <c r="H452" t="s">
        <v>338</v>
      </c>
      <c r="J452" s="1">
        <v>1.75</v>
      </c>
      <c r="K452" t="s">
        <v>96</v>
      </c>
      <c r="L452" s="2">
        <v>6.14</v>
      </c>
      <c r="M452" s="2">
        <v>6.1</v>
      </c>
      <c r="N452" s="4">
        <v>680</v>
      </c>
      <c r="O452" s="4"/>
      <c r="P452" s="4">
        <v>12.4</v>
      </c>
      <c r="R452" s="4">
        <v>41.2</v>
      </c>
      <c r="S452" s="4">
        <v>30.4</v>
      </c>
      <c r="T452" s="4" cm="1">
        <f t="array" ref="T452">_xlfn.IFS(L452&lt;=5,IF(ISNUMBER(X452)=TRUE,X452*1.79+AA452*1.8+Z452*5.56+50000*(10^-L452)-R452,1.79+AA452*1.8+Z452*5.56+50000*(10^-L452)-R452),L452&gt;5,IF(ISNUMBER(X452)=TRUE,X452*1.79+AA452*1.8+50000*(10^-L452)-R452,AA452*1.8+50000*(10^-L452)-R452))</f>
        <v>14.66847179800375</v>
      </c>
      <c r="U452" s="4"/>
      <c r="V452" s="4"/>
      <c r="W452" s="4">
        <v>36.543999999999997</v>
      </c>
      <c r="X452" s="4">
        <v>28.635000000000002</v>
      </c>
      <c r="Y452" s="4"/>
      <c r="Z452" s="100">
        <v>0.5</v>
      </c>
      <c r="AA452" s="31">
        <v>2.5419999999999998</v>
      </c>
      <c r="AB452" s="4">
        <v>297</v>
      </c>
      <c r="AC452" s="4"/>
      <c r="AD452" s="4"/>
      <c r="AE452" s="4"/>
      <c r="AF452" s="4"/>
      <c r="AG452" s="4"/>
      <c r="AH452" s="4"/>
      <c r="AI452" s="4"/>
      <c r="AJ452" s="4"/>
      <c r="AK452" s="4" t="s">
        <v>363</v>
      </c>
      <c r="AL452" s="4">
        <v>486</v>
      </c>
      <c r="AM452" s="4"/>
      <c r="AN452" s="1">
        <f t="shared" si="200"/>
        <v>0.63839999999999997</v>
      </c>
      <c r="AO452" s="1">
        <f>W452*J452*0.012</f>
        <v>0.767424</v>
      </c>
      <c r="AP452" s="1">
        <f t="shared" si="215"/>
        <v>1.0500000000000001E-2</v>
      </c>
      <c r="AQ452" s="1">
        <f t="shared" si="216"/>
        <v>5.3381999999999992E-2</v>
      </c>
      <c r="AR452" s="1">
        <f t="shared" si="217"/>
        <v>6.2370000000000001</v>
      </c>
      <c r="AS452" s="1">
        <f t="shared" ref="AS452:AS453" si="218">0.012*R452*J452</f>
        <v>0.86520000000000008</v>
      </c>
    </row>
    <row r="453" spans="1:45" x14ac:dyDescent="0.3">
      <c r="A453" s="5">
        <v>45461</v>
      </c>
      <c r="B453" s="12" t="s">
        <v>18</v>
      </c>
      <c r="C453" t="s">
        <v>285</v>
      </c>
      <c r="E453" t="s">
        <v>287</v>
      </c>
      <c r="F453" s="11"/>
      <c r="G453" s="11"/>
      <c r="H453" t="s">
        <v>338</v>
      </c>
      <c r="J453" s="4">
        <v>1.2</v>
      </c>
      <c r="K453" s="4" t="s">
        <v>96</v>
      </c>
      <c r="L453" s="2">
        <v>5.05</v>
      </c>
      <c r="M453" s="3">
        <v>5.7</v>
      </c>
      <c r="N453" s="4">
        <v>665</v>
      </c>
      <c r="O453" s="4"/>
      <c r="P453" s="4">
        <v>14</v>
      </c>
      <c r="Q453" s="4">
        <v>24</v>
      </c>
      <c r="R453" s="1">
        <v>24.2</v>
      </c>
      <c r="S453" s="1">
        <v>30.8</v>
      </c>
      <c r="T453" s="4" cm="1">
        <f t="array" ref="T453">_xlfn.IFS(L453&lt;=5,IF(ISNUMBER(X453)=TRUE,X453*1.79+AA453*1.8+Z453*5.56+50000*(10^-L453)-R453,1.79+AA453*1.8+Z453*5.56+50000*(10^-L453)-R453),L453&gt;5,IF(ISNUMBER(X453)=TRUE,X453*1.79+AA453*1.8+50000*(10^-L453)-R453,AA453*1.8+50000*(10^-L453)-R453))</f>
        <v>39.809515469066866</v>
      </c>
      <c r="U453" s="1"/>
      <c r="V453" s="1"/>
      <c r="W453" s="4">
        <v>40.408000000000001</v>
      </c>
      <c r="X453" s="1">
        <v>32.890999999999998</v>
      </c>
      <c r="Y453" s="1"/>
      <c r="Z453" s="100">
        <v>0.5</v>
      </c>
      <c r="AA453" s="31">
        <v>2.605</v>
      </c>
      <c r="AB453" s="1">
        <v>317.10000000000002</v>
      </c>
      <c r="AC453" s="1"/>
      <c r="AD453" s="1"/>
      <c r="AE453" s="1"/>
      <c r="AF453" s="1"/>
      <c r="AG453" s="1"/>
      <c r="AH453" s="1"/>
      <c r="AI453" s="1"/>
      <c r="AJ453" s="1"/>
      <c r="AK453" s="1">
        <v>30</v>
      </c>
      <c r="AL453" s="1">
        <v>506</v>
      </c>
      <c r="AM453" s="1"/>
      <c r="AN453" s="1">
        <f t="shared" ref="AN453:AN458" si="219">S453*J453*0.012</f>
        <v>0.44352000000000003</v>
      </c>
      <c r="AO453" s="1">
        <f t="shared" ref="AO453:AO458" si="220">X453*J453*0.012</f>
        <v>0.47363039999999995</v>
      </c>
      <c r="AP453" s="1">
        <f t="shared" si="215"/>
        <v>7.1999999999999998E-3</v>
      </c>
      <c r="AQ453" s="1">
        <f t="shared" si="216"/>
        <v>3.7511999999999997E-2</v>
      </c>
      <c r="AR453" s="1">
        <f t="shared" si="217"/>
        <v>4.5662400000000005</v>
      </c>
      <c r="AS453" s="1">
        <f t="shared" si="218"/>
        <v>0.34847999999999996</v>
      </c>
    </row>
    <row r="454" spans="1:45" x14ac:dyDescent="0.3">
      <c r="A454" s="5">
        <v>45483</v>
      </c>
      <c r="B454" s="12" t="s">
        <v>18</v>
      </c>
      <c r="C454" t="s">
        <v>285</v>
      </c>
      <c r="E454" t="s">
        <v>287</v>
      </c>
      <c r="F454" s="11"/>
      <c r="G454" s="11"/>
      <c r="H454" t="s">
        <v>338</v>
      </c>
      <c r="J454" s="4">
        <v>1.25</v>
      </c>
      <c r="K454" s="4" t="s">
        <v>96</v>
      </c>
      <c r="L454" s="2">
        <v>6.04</v>
      </c>
      <c r="M454" s="2">
        <v>5.3</v>
      </c>
      <c r="N454" s="4">
        <v>685</v>
      </c>
      <c r="O454" s="4"/>
      <c r="P454" s="4">
        <v>16.399999999999999</v>
      </c>
      <c r="Q454" s="4">
        <v>43</v>
      </c>
      <c r="R454" s="4">
        <v>10</v>
      </c>
      <c r="S454" s="4">
        <v>28.4</v>
      </c>
      <c r="T454" s="4" cm="1">
        <f t="array" ref="T454">_xlfn.IFS(L454&lt;=5,IF(ISNUMBER(X454)=TRUE,X454*1.79+AA454*1.8+Z454*5.56+50000*(10^-L454)-R454,1.79+AA454*1.8+Z454*5.56+50000*(10^-L454)-R454),L454&gt;5,IF(ISNUMBER(X454)=TRUE,X454*1.79+AA454*1.8+50000*(10^-L454)-R454,AA454*1.8+50000*(10^-L454)-R454))</f>
        <v>35.208880541967794</v>
      </c>
      <c r="U454" s="1"/>
      <c r="V454" s="1"/>
      <c r="W454" s="4">
        <v>39.594999999999999</v>
      </c>
      <c r="X454" s="4">
        <v>22.552</v>
      </c>
      <c r="Y454" s="4"/>
      <c r="Z454" s="100">
        <v>0.5</v>
      </c>
      <c r="AA454" s="3">
        <v>2.6640000000000001</v>
      </c>
      <c r="AB454" s="4">
        <v>324.10000000000002</v>
      </c>
      <c r="AC454" s="1"/>
      <c r="AD454" s="1"/>
      <c r="AE454" s="1"/>
      <c r="AF454" s="1"/>
      <c r="AG454" s="1"/>
      <c r="AH454" s="1"/>
      <c r="AI454" s="1"/>
      <c r="AJ454" s="1"/>
      <c r="AK454" s="4">
        <v>98</v>
      </c>
      <c r="AL454" s="4">
        <v>528</v>
      </c>
      <c r="AM454" s="1"/>
      <c r="AN454" s="1">
        <f t="shared" si="219"/>
        <v>0.42599999999999999</v>
      </c>
      <c r="AO454" s="1">
        <f t="shared" si="220"/>
        <v>0.33827999999999997</v>
      </c>
      <c r="AP454" s="1">
        <f t="shared" si="215"/>
        <v>7.4999999999999997E-3</v>
      </c>
      <c r="AQ454" s="1">
        <f t="shared" si="216"/>
        <v>3.9960000000000002E-2</v>
      </c>
      <c r="AR454" s="1">
        <f t="shared" si="217"/>
        <v>4.8615000000000004</v>
      </c>
      <c r="AS454" s="1">
        <f t="shared" ref="AS454" si="221">0.012*R454*J454</f>
        <v>0.15</v>
      </c>
    </row>
    <row r="455" spans="1:45" x14ac:dyDescent="0.3">
      <c r="A455" s="5">
        <v>45527</v>
      </c>
      <c r="B455" s="12" t="s">
        <v>22</v>
      </c>
      <c r="C455" t="s">
        <v>285</v>
      </c>
      <c r="E455" t="s">
        <v>287</v>
      </c>
      <c r="F455" s="11"/>
      <c r="G455" s="11"/>
      <c r="H455" t="s">
        <v>338</v>
      </c>
      <c r="J455" s="4">
        <v>1</v>
      </c>
      <c r="K455" s="4" t="s">
        <v>96</v>
      </c>
      <c r="L455" s="2">
        <v>6.14</v>
      </c>
      <c r="M455" s="2">
        <v>5.7</v>
      </c>
      <c r="N455" s="4">
        <v>628</v>
      </c>
      <c r="O455" s="4"/>
      <c r="P455" s="4"/>
      <c r="R455" s="4">
        <v>19.8</v>
      </c>
      <c r="S455" s="4">
        <v>30.6</v>
      </c>
      <c r="T455" s="4" cm="1">
        <f t="array" ref="T455">_xlfn.IFS(L455&lt;=5,IF(ISNUMBER(X455)=TRUE,X455*1.79+AA455*1.8+Z455*5.56+50000*(10^-L455)-R455,1.79+AA455*1.8+Z455*5.56+50000*(10^-L455)-R455),L455&gt;5,IF(ISNUMBER(X455)=TRUE,X455*1.79+AA455*1.8+50000*(10^-L455)-R455,AA455*1.8+50000*(10^-L455)-R455))</f>
        <v>49.571761798003749</v>
      </c>
      <c r="U455" s="1"/>
      <c r="V455" s="1"/>
      <c r="W455" s="4">
        <v>35.469000000000001</v>
      </c>
      <c r="X455" s="4">
        <v>36.045999999999999</v>
      </c>
      <c r="Y455" s="4"/>
      <c r="Z455" s="100">
        <v>0.5</v>
      </c>
      <c r="AA455" s="3">
        <v>2.6739999999999999</v>
      </c>
      <c r="AB455" s="4">
        <v>300</v>
      </c>
      <c r="AC455" s="1"/>
      <c r="AD455" s="1"/>
      <c r="AE455" s="1"/>
      <c r="AF455" s="1"/>
      <c r="AG455" s="1"/>
      <c r="AH455" s="1"/>
      <c r="AI455" s="1"/>
      <c r="AJ455" s="1"/>
      <c r="AK455" s="4">
        <v>22</v>
      </c>
      <c r="AL455" s="4">
        <v>504</v>
      </c>
      <c r="AM455" s="1"/>
      <c r="AN455" s="1">
        <f t="shared" si="219"/>
        <v>0.36720000000000003</v>
      </c>
      <c r="AO455" s="1">
        <f t="shared" si="220"/>
        <v>0.43255199999999999</v>
      </c>
      <c r="AP455" s="1">
        <f t="shared" si="215"/>
        <v>6.0000000000000001E-3</v>
      </c>
      <c r="AQ455" s="1">
        <f t="shared" si="216"/>
        <v>3.2087999999999998E-2</v>
      </c>
      <c r="AR455" s="1">
        <f t="shared" si="217"/>
        <v>3.6</v>
      </c>
      <c r="AS455" s="1">
        <f t="shared" ref="AS455" si="222">0.012*R455*J455</f>
        <v>0.23760000000000001</v>
      </c>
    </row>
    <row r="456" spans="1:45" x14ac:dyDescent="0.3">
      <c r="A456" s="5">
        <v>45547</v>
      </c>
      <c r="B456" s="12" t="s">
        <v>18</v>
      </c>
      <c r="C456" t="s">
        <v>285</v>
      </c>
      <c r="E456" t="s">
        <v>287</v>
      </c>
      <c r="F456" s="11"/>
      <c r="G456" s="11"/>
      <c r="H456" t="s">
        <v>338</v>
      </c>
      <c r="J456" s="4">
        <v>1</v>
      </c>
      <c r="K456" s="4" t="s">
        <v>96</v>
      </c>
      <c r="L456" s="2">
        <v>6.04</v>
      </c>
      <c r="M456" s="2">
        <v>5.9</v>
      </c>
      <c r="N456" s="4">
        <v>730</v>
      </c>
      <c r="O456" s="4"/>
      <c r="P456" s="4">
        <v>13</v>
      </c>
      <c r="Q456" s="4">
        <v>146</v>
      </c>
      <c r="R456" s="4">
        <v>43.2</v>
      </c>
      <c r="S456" s="4">
        <v>44.6</v>
      </c>
      <c r="T456" s="4" cm="1">
        <f t="array" ref="T456">_xlfn.IFS(L456&lt;=5,IF(ISNUMBER(X456)=TRUE,X456*1.79+AA456*1.8+Z456*5.56+50000*(10^-L456)-R456,1.79+AA456*1.8+Z456*5.56+50000*(10^-L456)-R456),L456&gt;5,IF(ISNUMBER(X456)=TRUE,X456*1.79+AA456*1.8+50000*(10^-L456)-R456,AA456*1.8+50000*(10^-L456)-R456))</f>
        <v>22.810010541967799</v>
      </c>
      <c r="U456" s="1"/>
      <c r="V456" s="1"/>
      <c r="W456" s="4">
        <v>36.991</v>
      </c>
      <c r="X456" s="4">
        <v>34.039000000000001</v>
      </c>
      <c r="Y456" s="4"/>
      <c r="Z456" s="100">
        <v>0.5</v>
      </c>
      <c r="AA456" s="3">
        <v>2.7970000000000002</v>
      </c>
      <c r="AB456" s="4">
        <v>336.4</v>
      </c>
      <c r="AC456" s="1"/>
      <c r="AD456" s="1"/>
      <c r="AE456" s="1"/>
      <c r="AF456" s="1"/>
      <c r="AG456" s="1"/>
      <c r="AH456" s="1"/>
      <c r="AI456" s="1"/>
      <c r="AJ456" s="1"/>
      <c r="AK456" s="4" t="s">
        <v>363</v>
      </c>
      <c r="AL456" s="4">
        <v>572</v>
      </c>
      <c r="AM456" s="1"/>
      <c r="AN456" s="1">
        <f t="shared" si="219"/>
        <v>0.53520000000000001</v>
      </c>
      <c r="AO456" s="1">
        <f t="shared" si="220"/>
        <v>0.40846800000000005</v>
      </c>
      <c r="AP456" s="1">
        <f t="shared" ref="AP456" si="223">Z456*J456*0.012</f>
        <v>6.0000000000000001E-3</v>
      </c>
      <c r="AQ456" s="1">
        <f t="shared" ref="AQ456" si="224">AA456*J456*0.012</f>
        <v>3.3564000000000004E-2</v>
      </c>
      <c r="AR456" s="1">
        <f t="shared" ref="AR456" si="225">AB456*J456*0.012</f>
        <v>4.0367999999999995</v>
      </c>
      <c r="AS456" s="1">
        <f t="shared" ref="AS456" si="226">0.012*R456*J456</f>
        <v>0.51840000000000008</v>
      </c>
    </row>
    <row r="457" spans="1:45" x14ac:dyDescent="0.3">
      <c r="A457" s="5">
        <v>45595</v>
      </c>
      <c r="B457" s="12" t="s">
        <v>22</v>
      </c>
      <c r="C457" t="s">
        <v>285</v>
      </c>
      <c r="E457" t="s">
        <v>287</v>
      </c>
      <c r="F457" s="11"/>
      <c r="G457" s="11"/>
      <c r="H457" t="s">
        <v>338</v>
      </c>
      <c r="J457" s="4">
        <v>0.6</v>
      </c>
      <c r="K457" s="4" t="s">
        <v>96</v>
      </c>
      <c r="L457" s="2">
        <v>5.5</v>
      </c>
      <c r="M457" s="2">
        <v>6</v>
      </c>
      <c r="N457" s="4">
        <v>675</v>
      </c>
      <c r="O457" s="4"/>
      <c r="P457" s="4">
        <v>13.5</v>
      </c>
      <c r="R457" s="4">
        <v>29</v>
      </c>
      <c r="S457" s="4">
        <v>42</v>
      </c>
      <c r="T457" s="4" cm="1">
        <f t="array" ref="T457">_xlfn.IFS(L457&lt;=5,IF(ISNUMBER(X457)=TRUE,X457*1.79+AA457*1.8+Z457*5.56+50000*(10^-L457)-R457,1.79+AA457*1.8+Z457*5.56+50000*(10^-L457)-R457),L457&gt;5,IF(ISNUMBER(X457)=TRUE,X457*1.79+AA457*1.8+50000*(10^-L457)-R457,AA457*1.8+50000*(10^-L457)-R457))</f>
        <v>39.08743388300843</v>
      </c>
      <c r="U457" s="1"/>
      <c r="V457" s="1"/>
      <c r="W457" s="4">
        <v>37.744999999999997</v>
      </c>
      <c r="X457" s="4">
        <v>35.188000000000002</v>
      </c>
      <c r="Y457" s="4"/>
      <c r="Z457" s="100">
        <v>0.5</v>
      </c>
      <c r="AA457" s="3">
        <v>2.746</v>
      </c>
      <c r="AB457" s="4">
        <v>326.8</v>
      </c>
      <c r="AC457" s="1"/>
      <c r="AD457" s="1"/>
      <c r="AE457" s="1"/>
      <c r="AF457" s="1"/>
      <c r="AG457" s="1"/>
      <c r="AH457" s="1"/>
      <c r="AI457" s="1"/>
      <c r="AJ457" s="1"/>
      <c r="AK457" s="4">
        <v>38</v>
      </c>
      <c r="AL457" s="4">
        <v>530</v>
      </c>
      <c r="AM457" s="1"/>
      <c r="AN457" s="1">
        <f t="shared" si="219"/>
        <v>0.3024</v>
      </c>
      <c r="AO457" s="1">
        <f t="shared" si="220"/>
        <v>0.25335360000000001</v>
      </c>
      <c r="AP457" s="1">
        <f t="shared" ref="AP457" si="227">Z457*J457*0.012</f>
        <v>3.5999999999999999E-3</v>
      </c>
      <c r="AQ457" s="1">
        <f t="shared" ref="AQ457" si="228">AA457*J457*0.012</f>
        <v>1.9771199999999999E-2</v>
      </c>
      <c r="AR457" s="1">
        <f t="shared" ref="AR457" si="229">AB457*J457*0.012</f>
        <v>2.3529600000000004</v>
      </c>
      <c r="AS457" s="1">
        <f t="shared" ref="AS457" si="230">0.012*R457*J457</f>
        <v>0.20880000000000001</v>
      </c>
    </row>
    <row r="458" spans="1:45" x14ac:dyDescent="0.3">
      <c r="A458" s="5">
        <v>45617</v>
      </c>
      <c r="B458" s="12" t="s">
        <v>18</v>
      </c>
      <c r="C458" t="s">
        <v>285</v>
      </c>
      <c r="E458" t="s">
        <v>287</v>
      </c>
      <c r="F458" s="11"/>
      <c r="G458" s="11"/>
      <c r="H458" t="s">
        <v>338</v>
      </c>
      <c r="J458" s="4">
        <v>1</v>
      </c>
      <c r="K458" s="4" t="s">
        <v>96</v>
      </c>
      <c r="M458" s="2">
        <v>5.9</v>
      </c>
      <c r="N458" s="4"/>
      <c r="O458" s="4"/>
      <c r="P458" s="4"/>
      <c r="R458" s="4">
        <v>30</v>
      </c>
      <c r="S458" s="4">
        <v>50.4</v>
      </c>
      <c r="T458" s="4" cm="1">
        <f t="array" ref="T458">_xlfn.IFS(M458&lt;=5,IF(ISNUMBER(X458)=TRUE,X458*1.79+AA458*1.8+Z458*5.56+50000*(10^-M458)-R458,1.79+AA458*1.8+Z458*5.56+50000*(10^-M458)-R458),M458&gt;5,IF(ISNUMBER(X458)=TRUE,X458*1.79+AA458*1.8+50000*(10^-M458)-R458,AA458*1.8+50000*(10^-M458)-R458))</f>
        <v>33.492596270589701</v>
      </c>
      <c r="U458" s="1"/>
      <c r="V458" s="1"/>
      <c r="W458" s="4">
        <v>35.347000000000001</v>
      </c>
      <c r="X458" s="4">
        <v>32.634999999999998</v>
      </c>
      <c r="Y458" s="4"/>
      <c r="Z458" s="100">
        <v>0.5</v>
      </c>
      <c r="AA458" s="3">
        <v>2.7850000000000001</v>
      </c>
      <c r="AB458" s="4">
        <v>327.3</v>
      </c>
      <c r="AC458" s="1"/>
      <c r="AD458" s="1"/>
      <c r="AE458" s="1"/>
      <c r="AF458" s="1"/>
      <c r="AG458" s="1"/>
      <c r="AH458" s="1"/>
      <c r="AI458" s="1"/>
      <c r="AJ458" s="1"/>
      <c r="AK458" s="4" t="s">
        <v>363</v>
      </c>
      <c r="AL458" s="4">
        <v>470</v>
      </c>
      <c r="AM458" s="1"/>
      <c r="AN458" s="1">
        <f t="shared" si="219"/>
        <v>0.6048</v>
      </c>
      <c r="AO458" s="1">
        <f t="shared" si="220"/>
        <v>0.39161999999999997</v>
      </c>
      <c r="AP458" s="1">
        <f t="shared" ref="AP458" si="231">Z458*J458*0.012</f>
        <v>6.0000000000000001E-3</v>
      </c>
      <c r="AQ458" s="1">
        <f t="shared" ref="AQ458" si="232">AA458*J458*0.012</f>
        <v>3.3420000000000005E-2</v>
      </c>
      <c r="AR458" s="1">
        <f t="shared" ref="AR458" si="233">AB458*J458*0.012</f>
        <v>3.9276000000000004</v>
      </c>
      <c r="AS458" s="1">
        <f t="shared" ref="AS458" si="234">0.012*R458*J458</f>
        <v>0.36</v>
      </c>
    </row>
    <row r="459" spans="1:45" x14ac:dyDescent="0.3">
      <c r="A459" s="5">
        <v>45644</v>
      </c>
      <c r="B459" s="12" t="s">
        <v>415</v>
      </c>
      <c r="C459" t="s">
        <v>285</v>
      </c>
      <c r="E459" t="s">
        <v>287</v>
      </c>
      <c r="F459" s="11"/>
      <c r="G459" s="11"/>
      <c r="H459" t="s">
        <v>299</v>
      </c>
      <c r="J459" s="4">
        <v>3</v>
      </c>
      <c r="K459" s="4" t="s">
        <v>96</v>
      </c>
      <c r="L459" s="2">
        <v>6.19</v>
      </c>
      <c r="M459" s="2">
        <v>5.4</v>
      </c>
      <c r="N459" s="4">
        <v>616</v>
      </c>
      <c r="O459" s="4"/>
      <c r="P459" s="4"/>
      <c r="R459" s="4">
        <v>14.4</v>
      </c>
      <c r="S459" s="4">
        <v>28.6</v>
      </c>
      <c r="T459" s="4" cm="1">
        <f t="array" ref="T459">_xlfn.IFS(L459&lt;=5,IF(ISNUMBER(X459)=TRUE,X459*1.79+AA459*1.8+Z459*5.56+50000*(10^-L459)-R459,1.79+AA459*1.8+Z459*5.56+50000*(10^-L459)-R459),L459&gt;5,IF(ISNUMBER(X459)=TRUE,X459*1.79+AA459*1.8+50000*(10^-L459)-R459,AA459*1.8+50000*(10^-L459)-R459))</f>
        <v>43.169082711451736</v>
      </c>
      <c r="U459" s="1"/>
      <c r="V459" s="1"/>
      <c r="W459" s="4">
        <v>43.460999999999999</v>
      </c>
      <c r="X459" s="4">
        <v>29.72</v>
      </c>
      <c r="Y459" s="4"/>
      <c r="Z459" s="100">
        <v>0.5</v>
      </c>
      <c r="AA459" s="3">
        <v>2.41</v>
      </c>
      <c r="AB459" s="10">
        <v>1003.1</v>
      </c>
      <c r="AC459" s="1"/>
      <c r="AD459" s="1"/>
      <c r="AE459" s="1"/>
      <c r="AF459" s="1"/>
      <c r="AG459" s="1"/>
      <c r="AH459" s="1"/>
      <c r="AI459" s="1"/>
      <c r="AJ459" s="1"/>
      <c r="AK459" s="4">
        <v>43</v>
      </c>
      <c r="AL459" s="4">
        <v>454</v>
      </c>
      <c r="AM459" s="1"/>
      <c r="AN459" s="1">
        <f t="shared" ref="AN459" si="235">S459*J459*0.012</f>
        <v>1.0296000000000001</v>
      </c>
      <c r="AO459" s="1">
        <f t="shared" ref="AO459" si="236">X459*J459*0.012</f>
        <v>1.06992</v>
      </c>
      <c r="AP459" s="1">
        <f t="shared" ref="AP459" si="237">Z459*J459*0.012</f>
        <v>1.8000000000000002E-2</v>
      </c>
      <c r="AQ459" s="1">
        <f t="shared" ref="AQ459" si="238">AA459*J459*0.012</f>
        <v>8.6760000000000004E-2</v>
      </c>
      <c r="AR459" s="1">
        <f t="shared" ref="AR459" si="239">AB459*J459*0.012</f>
        <v>36.111600000000003</v>
      </c>
      <c r="AS459" s="1">
        <f t="shared" ref="AS459" si="240">0.012*R459*J459</f>
        <v>0.51839999999999997</v>
      </c>
    </row>
    <row r="460" spans="1:45" x14ac:dyDescent="0.3">
      <c r="A460" s="5">
        <v>45687</v>
      </c>
      <c r="B460" s="12" t="s">
        <v>421</v>
      </c>
      <c r="C460" t="s">
        <v>285</v>
      </c>
      <c r="E460" t="s">
        <v>287</v>
      </c>
      <c r="F460" s="11"/>
      <c r="G460" s="11"/>
      <c r="H460" t="s">
        <v>338</v>
      </c>
      <c r="J460" s="4">
        <v>1.6</v>
      </c>
      <c r="K460" s="4" t="s">
        <v>96</v>
      </c>
      <c r="L460" s="2">
        <v>5.98</v>
      </c>
      <c r="M460" s="2">
        <v>5.5</v>
      </c>
      <c r="N460" s="4">
        <v>711</v>
      </c>
      <c r="O460" s="4"/>
      <c r="P460" s="4">
        <v>6.5</v>
      </c>
      <c r="Q460" s="4">
        <v>45</v>
      </c>
      <c r="R460" s="4">
        <v>12.2</v>
      </c>
      <c r="S460" s="4">
        <v>41.2</v>
      </c>
      <c r="T460" s="4" cm="1">
        <f t="array" ref="T460">_xlfn.IFS(L460&lt;=5,IF(ISNUMBER(X460)=TRUE,X460*1.79+AA460*1.8+Z460*5.56+50000*(10^-L460)-R460,1.79+AA460*1.8+Z460*5.56+50000*(10^-L460)-R460),L460&gt;5,IF(ISNUMBER(X460)=TRUE,X460*1.79+AA460*1.8+50000*(10^-L460)-R460,AA460*1.8+50000*(10^-L460)-R460))</f>
        <v>55.306726427402538</v>
      </c>
      <c r="U460" s="1"/>
      <c r="V460" s="1"/>
      <c r="W460" s="4">
        <v>35.725000000000001</v>
      </c>
      <c r="X460" s="4">
        <v>34.802999999999997</v>
      </c>
      <c r="Y460" s="4"/>
      <c r="Z460" s="100">
        <v>0.5</v>
      </c>
      <c r="AA460" s="3">
        <v>2.8650000000000002</v>
      </c>
      <c r="AB460" s="4">
        <v>308.89999999999998</v>
      </c>
      <c r="AC460" s="1"/>
      <c r="AD460" s="1"/>
      <c r="AE460" s="1"/>
      <c r="AF460" s="1"/>
      <c r="AG460" s="1"/>
      <c r="AH460" s="1"/>
      <c r="AI460" s="1"/>
      <c r="AJ460" s="1"/>
      <c r="AK460" s="4" t="s">
        <v>363</v>
      </c>
      <c r="AL460" s="4">
        <v>484</v>
      </c>
      <c r="AM460" s="1"/>
      <c r="AN460" s="1">
        <f t="shared" ref="AN460" si="241">S460*J460*0.012</f>
        <v>0.79104000000000008</v>
      </c>
      <c r="AO460" s="1">
        <f t="shared" ref="AO460" si="242">X460*J460*0.012</f>
        <v>0.66821759999999997</v>
      </c>
      <c r="AP460" s="1">
        <f>Z460*J460*0.012</f>
        <v>9.6000000000000009E-3</v>
      </c>
      <c r="AQ460" s="1">
        <f t="shared" ref="AQ460" si="243">AA460*J460*0.012</f>
        <v>5.5008000000000008E-2</v>
      </c>
      <c r="AR460" s="1">
        <f t="shared" ref="AR460" si="244">AB460*J460*0.012</f>
        <v>5.9308800000000002</v>
      </c>
      <c r="AS460" s="1">
        <f t="shared" ref="AS460" si="245">0.012*R460*J460</f>
        <v>0.23424</v>
      </c>
    </row>
    <row r="461" spans="1:45" x14ac:dyDescent="0.3">
      <c r="A461" s="6"/>
      <c r="B461" s="6"/>
      <c r="C461" s="71"/>
      <c r="I461"/>
      <c r="J461"/>
      <c r="L461"/>
      <c r="M461" s="6"/>
      <c r="N461"/>
      <c r="O461"/>
      <c r="P461"/>
      <c r="Q461"/>
      <c r="R461" s="6"/>
      <c r="S461" s="6"/>
      <c r="T461"/>
      <c r="U461"/>
      <c r="V461"/>
      <c r="W461"/>
      <c r="X461"/>
      <c r="Y461"/>
      <c r="Z461"/>
      <c r="AA461"/>
      <c r="AB461" s="6"/>
      <c r="AC461"/>
      <c r="AD461"/>
      <c r="AE461"/>
      <c r="AF461"/>
      <c r="AG461"/>
      <c r="AH461"/>
      <c r="AI461"/>
      <c r="AJ461"/>
      <c r="AK461" s="6"/>
      <c r="AL461" s="6"/>
      <c r="AM461"/>
      <c r="AN461"/>
      <c r="AO461"/>
      <c r="AP461"/>
      <c r="AQ461"/>
      <c r="AR461"/>
      <c r="AS461"/>
    </row>
    <row r="462" spans="1:45" x14ac:dyDescent="0.3">
      <c r="A462" s="5">
        <v>45098</v>
      </c>
      <c r="B462" s="12" t="s">
        <v>82</v>
      </c>
      <c r="C462" t="s">
        <v>286</v>
      </c>
      <c r="E462" t="s">
        <v>288</v>
      </c>
      <c r="F462" s="11"/>
      <c r="G462" s="11"/>
      <c r="H462" t="s">
        <v>93</v>
      </c>
      <c r="J462" s="1">
        <v>46.1</v>
      </c>
      <c r="K462" t="s">
        <v>96</v>
      </c>
      <c r="L462" s="2">
        <v>6.01</v>
      </c>
      <c r="M462" s="2">
        <v>6</v>
      </c>
      <c r="N462" s="1">
        <v>631</v>
      </c>
      <c r="O462" s="1">
        <v>704</v>
      </c>
      <c r="P462" s="3">
        <v>10.9</v>
      </c>
      <c r="Q462" s="4">
        <v>49</v>
      </c>
      <c r="R462" s="40">
        <v>43.2</v>
      </c>
      <c r="S462" s="40">
        <v>53.6</v>
      </c>
      <c r="T462" s="4" cm="1">
        <f t="array" ref="T462">_xlfn.IFS(L462&lt;=5,IF(ISNUMBER(X462)=TRUE,X462*1.79+AA462*1.8+Z462*5.56+50000*(10^-L462)-R462,1.79+AA462*1.8+Z462*5.56+50000*(10^-L462)-R462),L462&gt;5,IF(ISNUMBER(X462)=TRUE,X462*1.79+AA462*1.8+50000*(10^-L462)-R462,AA462*1.8+50000*(10^-L462)-R462))</f>
        <v>32.182281861047798</v>
      </c>
      <c r="U462" s="6"/>
      <c r="V462" s="6"/>
      <c r="W462" s="8">
        <v>43.6</v>
      </c>
      <c r="X462" s="8">
        <v>38.898000000000003</v>
      </c>
      <c r="Y462" s="8"/>
      <c r="Z462" s="8">
        <v>0.3</v>
      </c>
      <c r="AA462" s="8">
        <v>3.17</v>
      </c>
      <c r="AB462" s="6"/>
      <c r="AC462" s="6">
        <v>73.3</v>
      </c>
      <c r="AD462" s="6">
        <v>29.7</v>
      </c>
      <c r="AE462" s="8">
        <v>2.84</v>
      </c>
      <c r="AF462" s="6">
        <v>2.2000000000000002</v>
      </c>
      <c r="AG462" s="8">
        <v>4</v>
      </c>
      <c r="AH462" s="6">
        <v>0.05</v>
      </c>
      <c r="AI462" s="41">
        <v>0.03</v>
      </c>
      <c r="AJ462" s="6">
        <v>0.2</v>
      </c>
      <c r="AK462" s="6"/>
      <c r="AL462" s="6"/>
      <c r="AN462" s="1">
        <f t="shared" ref="AN462" si="246">S462*J462*0.012</f>
        <v>29.651520000000001</v>
      </c>
      <c r="AO462" s="1">
        <f t="shared" ref="AO462" si="247">W462*J462*0.012</f>
        <v>24.119520000000001</v>
      </c>
      <c r="AP462" s="1">
        <f t="shared" ref="AP462" si="248">Z462*J462*0.012</f>
        <v>0.16596</v>
      </c>
      <c r="AQ462" s="1">
        <f t="shared" ref="AQ462" si="249">AA462*J462*0.012</f>
        <v>1.753644</v>
      </c>
      <c r="AR462" s="1">
        <f t="shared" ref="AR462" si="250">AB462*J462*0.012</f>
        <v>0</v>
      </c>
      <c r="AS462" s="1">
        <f t="shared" si="209"/>
        <v>23.898240000000005</v>
      </c>
    </row>
    <row r="463" spans="1:45" x14ac:dyDescent="0.3">
      <c r="A463" s="5">
        <v>45169</v>
      </c>
      <c r="B463" s="12" t="s">
        <v>48</v>
      </c>
      <c r="C463" t="s">
        <v>286</v>
      </c>
      <c r="E463" t="s">
        <v>288</v>
      </c>
      <c r="F463" s="11"/>
      <c r="G463" s="11"/>
      <c r="H463" t="s">
        <v>256</v>
      </c>
      <c r="J463" s="1">
        <v>71.3</v>
      </c>
      <c r="K463" t="s">
        <v>96</v>
      </c>
      <c r="L463" s="2">
        <v>5.89</v>
      </c>
      <c r="M463" s="2">
        <v>5.9</v>
      </c>
      <c r="N463" s="1">
        <v>736</v>
      </c>
      <c r="O463" s="1">
        <v>697</v>
      </c>
      <c r="R463" s="40">
        <v>29.8</v>
      </c>
      <c r="S463" s="40">
        <v>78.400000000000006</v>
      </c>
      <c r="T463" s="4" cm="1">
        <f t="array" ref="T463">_xlfn.IFS(L463&lt;=5,IF(ISNUMBER(X463)=TRUE,X463*1.79+AA463*1.8+Z463*5.56+50000*(10^-L463)-R463,1.79+AA463*1.8+Z463*5.56+50000*(10^-L463)-R463),L463&gt;5,IF(ISNUMBER(X463)=TRUE,X463*1.79+AA463*1.8+50000*(10^-L463)-R463,AA463*1.8+50000*(10^-L463)-R463))</f>
        <v>52.905912477584664</v>
      </c>
      <c r="U463" s="6"/>
      <c r="V463" s="6"/>
      <c r="W463" s="8">
        <v>46</v>
      </c>
      <c r="X463" s="8">
        <v>42.85</v>
      </c>
      <c r="Y463" s="8"/>
      <c r="Z463" s="8">
        <v>0.3</v>
      </c>
      <c r="AA463" s="8">
        <v>3.3</v>
      </c>
      <c r="AB463" s="6">
        <v>339</v>
      </c>
      <c r="AC463" s="6">
        <v>76.900000000000006</v>
      </c>
      <c r="AD463" s="6">
        <v>30.6</v>
      </c>
      <c r="AE463" s="8">
        <v>2.96</v>
      </c>
      <c r="AF463" s="8">
        <v>2.2400000000000002</v>
      </c>
      <c r="AG463" s="8">
        <v>4</v>
      </c>
      <c r="AH463" s="6">
        <v>0.05</v>
      </c>
      <c r="AI463" s="41">
        <v>0.03</v>
      </c>
      <c r="AJ463" s="6">
        <v>0.2</v>
      </c>
      <c r="AK463" s="6"/>
      <c r="AL463" s="6"/>
      <c r="AN463" s="1">
        <f t="shared" ref="AN463" si="251">S463*J463*0.012</f>
        <v>67.079040000000006</v>
      </c>
      <c r="AO463" s="1">
        <f t="shared" ref="AO463" si="252">W463*J463*0.012</f>
        <v>39.357599999999998</v>
      </c>
      <c r="AP463" s="1">
        <f t="shared" ref="AP463" si="253">Z463*J463*0.012</f>
        <v>0.25667999999999996</v>
      </c>
      <c r="AQ463" s="1">
        <f t="shared" ref="AQ463" si="254">AA463*J463*0.012</f>
        <v>2.82348</v>
      </c>
      <c r="AR463" s="1">
        <f>AB463*J463*0.012</f>
        <v>290.04840000000002</v>
      </c>
      <c r="AS463" s="1">
        <f t="shared" si="209"/>
        <v>25.496880000000001</v>
      </c>
    </row>
    <row r="464" spans="1:45" x14ac:dyDescent="0.3">
      <c r="A464" s="5">
        <v>45352</v>
      </c>
      <c r="C464" t="s">
        <v>286</v>
      </c>
      <c r="E464" t="s">
        <v>288</v>
      </c>
      <c r="F464" s="11"/>
      <c r="G464" s="11"/>
      <c r="H464" t="s">
        <v>218</v>
      </c>
      <c r="J464" s="1">
        <f>'Penn Run'!J120</f>
        <v>72.766055999999992</v>
      </c>
      <c r="K464" s="1" t="str">
        <f>'Penn Run'!K120</f>
        <v>M</v>
      </c>
      <c r="L464" s="43">
        <f>'Penn Run'!L120</f>
        <v>6.17</v>
      </c>
      <c r="M464" s="43">
        <f>'Penn Run'!M120</f>
        <v>5.8</v>
      </c>
      <c r="N464" s="1">
        <f>'Penn Run'!N120</f>
        <v>674</v>
      </c>
      <c r="O464" s="43"/>
      <c r="P464" s="31">
        <f>'Penn Run'!P120</f>
        <v>10.3</v>
      </c>
      <c r="Q464" s="43"/>
      <c r="R464" s="1">
        <f>'Penn Run'!R120</f>
        <v>39</v>
      </c>
      <c r="S464" s="1">
        <f>'Penn Run'!S120</f>
        <v>48.6</v>
      </c>
      <c r="T464" s="1">
        <f>'Penn Run'!T120</f>
        <v>39.013341548545952</v>
      </c>
      <c r="U464" s="43"/>
      <c r="V464" s="43"/>
      <c r="W464" s="31">
        <f>'Penn Run'!W120</f>
        <v>42.887</v>
      </c>
      <c r="X464" s="31">
        <f>'Penn Run'!X120</f>
        <v>40.225000000000001</v>
      </c>
      <c r="Y464" s="31"/>
      <c r="Z464" s="100">
        <f>'Penn Run'!Z120</f>
        <v>0.5</v>
      </c>
      <c r="AA464" s="31">
        <f>'Penn Run'!AA120</f>
        <v>3.32</v>
      </c>
      <c r="AB464" s="1">
        <f>'Penn Run'!AB120</f>
        <v>326</v>
      </c>
      <c r="AC464" s="1"/>
      <c r="AD464" s="1"/>
      <c r="AE464" s="1"/>
      <c r="AF464" s="1"/>
      <c r="AG464" s="1"/>
      <c r="AH464" s="1"/>
      <c r="AI464" s="1"/>
      <c r="AJ464" s="1"/>
      <c r="AK464" s="1"/>
      <c r="AL464" s="1"/>
      <c r="AM464" s="1"/>
      <c r="AN464" s="1">
        <f t="shared" ref="AN464:AN465" si="255">S464*J464*0.012</f>
        <v>42.437163859199998</v>
      </c>
      <c r="AO464" s="1">
        <f t="shared" ref="AO464:AO465" si="256">W464*J464*0.012</f>
        <v>37.448614124063994</v>
      </c>
      <c r="AP464" s="1">
        <f t="shared" ref="AP464:AP465" si="257">Z464*J464*0.012</f>
        <v>0.43659633599999997</v>
      </c>
      <c r="AQ464" s="1">
        <f t="shared" ref="AQ464:AQ465" si="258">AA464*J464*0.012</f>
        <v>2.8989996710399994</v>
      </c>
      <c r="AR464" s="1">
        <f t="shared" ref="AR464:AR465" si="259">AB464*J464*0.012</f>
        <v>284.66081107199994</v>
      </c>
      <c r="AS464" s="1">
        <f t="shared" ref="AS464:AS555" si="260">0.012*R464*J464</f>
        <v>34.054514208000001</v>
      </c>
    </row>
    <row r="465" spans="1:48" x14ac:dyDescent="0.3">
      <c r="A465" s="5">
        <v>45392</v>
      </c>
      <c r="B465" s="12" t="s">
        <v>20</v>
      </c>
      <c r="C465" t="s">
        <v>286</v>
      </c>
      <c r="E465" t="s">
        <v>288</v>
      </c>
      <c r="F465" s="11"/>
      <c r="G465" s="11"/>
      <c r="H465" t="s">
        <v>218</v>
      </c>
      <c r="J465" s="1">
        <v>92.6</v>
      </c>
      <c r="K465" t="s">
        <v>96</v>
      </c>
      <c r="L465" s="2">
        <v>5.97</v>
      </c>
      <c r="M465" s="2">
        <v>6</v>
      </c>
      <c r="N465" s="1">
        <v>617</v>
      </c>
      <c r="P465" s="3">
        <v>10.4</v>
      </c>
      <c r="Q465" s="4">
        <v>42</v>
      </c>
      <c r="R465" s="40">
        <v>46.6</v>
      </c>
      <c r="S465" s="40">
        <v>46.2</v>
      </c>
      <c r="T465" s="4" cm="1">
        <f t="array" ref="T465">_xlfn.IFS(L465&lt;=5,IF(ISNUMBER(X465)=TRUE,X465*1.79+AA465*1.8+Z465*5.56+50000*(10^-L465)-Q465,1.79+AA465*1.8+Z465*5.56+50000*(10^-L465)-Q465),L465&gt;5,IF(ISNUMBER(X465)=TRUE,X465*1.79+AA465*1.8+50000*(10^-L465)-Q465,AA465*1.8+50000*(10^-L465)-Q465))</f>
        <v>30.76411596526188</v>
      </c>
      <c r="U465" s="6"/>
      <c r="V465" s="6"/>
      <c r="W465" s="8">
        <v>40.753999999999998</v>
      </c>
      <c r="X465" s="8">
        <v>37.485999999999997</v>
      </c>
      <c r="Y465" s="8"/>
      <c r="Z465" s="101">
        <v>0.5</v>
      </c>
      <c r="AA465" s="8">
        <v>3.117</v>
      </c>
      <c r="AB465" s="40">
        <v>300.5</v>
      </c>
      <c r="AC465" s="6"/>
      <c r="AD465" s="6"/>
      <c r="AE465" s="8"/>
      <c r="AF465" s="8"/>
      <c r="AG465" s="8"/>
      <c r="AH465" s="6"/>
      <c r="AI465" s="41"/>
      <c r="AJ465" s="6"/>
      <c r="AK465" s="6" t="s">
        <v>363</v>
      </c>
      <c r="AL465" s="6">
        <v>508</v>
      </c>
      <c r="AN465" s="1">
        <f t="shared" si="255"/>
        <v>51.337440000000001</v>
      </c>
      <c r="AO465" s="1">
        <f t="shared" si="256"/>
        <v>45.2858448</v>
      </c>
      <c r="AP465" s="1">
        <f t="shared" si="257"/>
        <v>0.55559999999999998</v>
      </c>
      <c r="AQ465" s="1">
        <f t="shared" si="258"/>
        <v>3.4636103999999994</v>
      </c>
      <c r="AR465" s="1">
        <f t="shared" si="259"/>
        <v>333.91559999999998</v>
      </c>
      <c r="AS465" s="1">
        <f t="shared" si="260"/>
        <v>51.78192</v>
      </c>
    </row>
    <row r="466" spans="1:48" x14ac:dyDescent="0.3">
      <c r="A466" s="5">
        <v>45442</v>
      </c>
      <c r="B466" s="12" t="s">
        <v>20</v>
      </c>
      <c r="C466" t="s">
        <v>286</v>
      </c>
      <c r="E466" t="s">
        <v>288</v>
      </c>
      <c r="F466" s="11"/>
      <c r="G466" s="11"/>
      <c r="H466" t="s">
        <v>218</v>
      </c>
      <c r="J466" s="1">
        <v>60.6</v>
      </c>
      <c r="K466" t="s">
        <v>96</v>
      </c>
      <c r="L466" s="2">
        <v>5.82</v>
      </c>
      <c r="M466" s="2">
        <v>6.1</v>
      </c>
      <c r="N466" s="1">
        <v>703</v>
      </c>
      <c r="P466" s="3">
        <v>10.6</v>
      </c>
      <c r="R466" s="40">
        <v>51.4</v>
      </c>
      <c r="S466" s="40">
        <v>44.4</v>
      </c>
      <c r="T466" s="4" cm="1">
        <f t="array" ref="T466">_xlfn.IFS(L466&lt;=5,IF(ISNUMBER(X466)=TRUE,X466*1.79+AA466*1.8+Z466*5.56+50000*(10^-L466)-R466,1.79+AA466*1.8+Z466*5.56+50000*(10^-L466)-R466),L466&gt;5,IF(ISNUMBER(X466)=TRUE,X466*1.79+AA466*1.8+50000*(10^-L466)-R466,AA466*1.8+50000*(10^-L466)-R466))</f>
        <v>20.079008062421828</v>
      </c>
      <c r="U466" s="6"/>
      <c r="V466" s="6"/>
      <c r="W466" s="8">
        <v>40.237000000000002</v>
      </c>
      <c r="X466" s="8">
        <v>36.987000000000002</v>
      </c>
      <c r="Y466" s="8"/>
      <c r="Z466" s="101">
        <v>0.5</v>
      </c>
      <c r="AA466" s="8">
        <v>2.887</v>
      </c>
      <c r="AB466" s="40">
        <v>315.5</v>
      </c>
      <c r="AC466" s="6"/>
      <c r="AD466" s="6"/>
      <c r="AE466" s="8"/>
      <c r="AF466" s="8"/>
      <c r="AG466" s="8"/>
      <c r="AH466" s="6"/>
      <c r="AI466" s="41"/>
      <c r="AJ466" s="6"/>
      <c r="AK466" s="6" t="s">
        <v>363</v>
      </c>
      <c r="AL466" s="6">
        <v>550</v>
      </c>
      <c r="AN466" s="1">
        <f t="shared" ref="AN466:AN467" si="261">S466*J466*0.012</f>
        <v>32.287680000000002</v>
      </c>
      <c r="AO466" s="1">
        <f t="shared" ref="AO466:AO467" si="262">W466*J466*0.012</f>
        <v>29.2603464</v>
      </c>
      <c r="AP466" s="1">
        <f t="shared" ref="AP466:AP467" si="263">Z466*J466*0.012</f>
        <v>0.36360000000000003</v>
      </c>
      <c r="AQ466" s="1">
        <f t="shared" ref="AQ466:AQ467" si="264">AA466*J466*0.012</f>
        <v>2.0994264</v>
      </c>
      <c r="AR466" s="1">
        <f t="shared" ref="AR466:AR467" si="265">AB466*J466*0.012</f>
        <v>229.4316</v>
      </c>
      <c r="AS466" s="1">
        <f t="shared" ref="AS466:AS467" si="266">0.012*R466*J466</f>
        <v>37.378080000000004</v>
      </c>
    </row>
    <row r="467" spans="1:48" x14ac:dyDescent="0.3">
      <c r="A467" s="5">
        <v>45461</v>
      </c>
      <c r="B467" s="12" t="s">
        <v>20</v>
      </c>
      <c r="C467" t="s">
        <v>286</v>
      </c>
      <c r="E467" t="s">
        <v>288</v>
      </c>
      <c r="F467" s="11"/>
      <c r="G467" s="11"/>
      <c r="H467" t="s">
        <v>218</v>
      </c>
      <c r="J467" s="4">
        <v>58.53</v>
      </c>
      <c r="K467" s="4" t="s">
        <v>96</v>
      </c>
      <c r="L467" s="2">
        <v>5.76</v>
      </c>
      <c r="M467" s="2">
        <v>5.8</v>
      </c>
      <c r="N467" s="4">
        <v>704</v>
      </c>
      <c r="O467" s="4"/>
      <c r="P467" s="4">
        <v>10.9</v>
      </c>
      <c r="Q467" s="4">
        <v>37</v>
      </c>
      <c r="R467" s="40">
        <v>41.2</v>
      </c>
      <c r="S467" s="40">
        <v>47.8</v>
      </c>
      <c r="T467" s="4" cm="1">
        <f t="array" ref="T467">_xlfn.IFS(L467&lt;=5,IF(ISNUMBER(X467)=TRUE,X467*1.79+AA467*1.8+Z467*5.56+50000*(10^-L467)-Q467,1.79+AA467*1.8+Z467*5.56+50000*(10^-L467)-Q467),L467&gt;5,IF(ISNUMBER(X467)=TRUE,X467*1.79+AA467*1.8+50000*(10^-L467)-Q467,AA467*1.8+50000*(10^-L467)-Q467))</f>
        <v>43.253580041437473</v>
      </c>
      <c r="U467" s="6"/>
      <c r="V467" s="6"/>
      <c r="W467" s="8">
        <v>40.052999999999997</v>
      </c>
      <c r="X467" s="8">
        <v>41.930999999999997</v>
      </c>
      <c r="Y467" s="8"/>
      <c r="Z467" s="101">
        <v>0.5</v>
      </c>
      <c r="AA467" s="8">
        <v>2.839</v>
      </c>
      <c r="AB467" s="40">
        <v>316.7</v>
      </c>
      <c r="AC467" s="6"/>
      <c r="AD467" s="6"/>
      <c r="AE467" s="8"/>
      <c r="AF467" s="8"/>
      <c r="AG467" s="8"/>
      <c r="AH467" s="6"/>
      <c r="AI467" s="41"/>
      <c r="AJ467" s="6"/>
      <c r="AK467" s="6" t="s">
        <v>363</v>
      </c>
      <c r="AL467" s="6">
        <v>540</v>
      </c>
      <c r="AN467" s="1">
        <f t="shared" si="261"/>
        <v>33.572808000000002</v>
      </c>
      <c r="AO467" s="1">
        <f t="shared" si="262"/>
        <v>28.131625079999996</v>
      </c>
      <c r="AP467" s="1">
        <f t="shared" si="263"/>
        <v>0.35117999999999999</v>
      </c>
      <c r="AQ467" s="1">
        <f t="shared" si="264"/>
        <v>1.9940000400000002</v>
      </c>
      <c r="AR467" s="1">
        <f t="shared" si="265"/>
        <v>222.43741200000002</v>
      </c>
      <c r="AS467" s="1">
        <f t="shared" si="266"/>
        <v>28.937232000000005</v>
      </c>
    </row>
    <row r="468" spans="1:48" x14ac:dyDescent="0.3">
      <c r="A468" s="5">
        <v>45483</v>
      </c>
      <c r="B468" s="12" t="s">
        <v>20</v>
      </c>
      <c r="C468" t="s">
        <v>286</v>
      </c>
      <c r="E468" t="s">
        <v>288</v>
      </c>
      <c r="F468" s="11"/>
      <c r="G468" s="11"/>
      <c r="H468" t="s">
        <v>218</v>
      </c>
      <c r="J468" s="4">
        <v>54.11</v>
      </c>
      <c r="K468" s="4" t="s">
        <v>96</v>
      </c>
      <c r="L468" s="2">
        <v>5.91</v>
      </c>
      <c r="M468" s="2">
        <v>5.9</v>
      </c>
      <c r="N468" s="4">
        <v>713</v>
      </c>
      <c r="O468" s="4"/>
      <c r="P468" s="4">
        <v>11</v>
      </c>
      <c r="Q468" s="18">
        <v>96</v>
      </c>
      <c r="R468" s="4">
        <v>22.4</v>
      </c>
      <c r="S468" s="4">
        <v>40.200000000000003</v>
      </c>
      <c r="T468" s="4" cm="1">
        <f t="array" ref="T468">_xlfn.IFS(L468&lt;=5,IF(ISNUMBER(X468)=TRUE,X468*1.79+AA468*1.8+Z468*5.56+50000*(10^-L468)-R468,1.79+AA468*1.8+Z468*5.56+50000*(10^-L468)-R468),L468&gt;5,IF(ISNUMBER(X468)=TRUE,X468*1.79+AA468*1.8+50000*(10^-L468)-R468,AA468*1.8+50000*(10^-L468)-R468))</f>
        <v>55.156903438540617</v>
      </c>
      <c r="U468" s="6"/>
      <c r="V468" s="6"/>
      <c r="W468" s="3">
        <v>41.88</v>
      </c>
      <c r="X468" s="3">
        <v>40.320999999999998</v>
      </c>
      <c r="Z468" s="52">
        <v>0.5</v>
      </c>
      <c r="AA468" s="3">
        <v>2.956</v>
      </c>
      <c r="AB468" s="4">
        <v>321.60000000000002</v>
      </c>
      <c r="AC468" s="6"/>
      <c r="AD468" s="6"/>
      <c r="AE468" s="8"/>
      <c r="AF468" s="8"/>
      <c r="AG468" s="8"/>
      <c r="AH468" s="6"/>
      <c r="AI468" s="41"/>
      <c r="AJ468" s="6"/>
      <c r="AK468" s="6" t="s">
        <v>363</v>
      </c>
      <c r="AL468" s="4">
        <v>552</v>
      </c>
      <c r="AN468" s="1">
        <f t="shared" ref="AN468" si="267">S468*J468*0.012</f>
        <v>26.102664000000004</v>
      </c>
      <c r="AO468" s="1">
        <f t="shared" ref="AO468" si="268">W468*J468*0.012</f>
        <v>27.1935216</v>
      </c>
      <c r="AP468" s="1">
        <f t="shared" ref="AP468" si="269">Z468*J468*0.012</f>
        <v>0.32466</v>
      </c>
      <c r="AQ468" s="1">
        <f t="shared" ref="AQ468" si="270">AA468*J468*0.012</f>
        <v>1.9193899200000002</v>
      </c>
      <c r="AR468" s="1">
        <f t="shared" ref="AR468" si="271">AB468*J468*0.012</f>
        <v>208.82131200000003</v>
      </c>
      <c r="AS468" s="1">
        <f t="shared" ref="AS468" si="272">0.012*R468*J468</f>
        <v>14.544767999999999</v>
      </c>
    </row>
    <row r="469" spans="1:48" x14ac:dyDescent="0.3">
      <c r="A469" s="5">
        <v>45527</v>
      </c>
      <c r="B469" s="12" t="s">
        <v>24</v>
      </c>
      <c r="C469" t="s">
        <v>286</v>
      </c>
      <c r="E469" t="s">
        <v>288</v>
      </c>
      <c r="F469" s="11"/>
      <c r="G469" s="11"/>
      <c r="H469" t="s">
        <v>218</v>
      </c>
      <c r="J469" s="4">
        <f>0.16*449</f>
        <v>71.84</v>
      </c>
      <c r="K469" s="4" t="s">
        <v>96</v>
      </c>
      <c r="L469" s="2">
        <v>5.9</v>
      </c>
      <c r="M469" s="2">
        <v>5.8</v>
      </c>
      <c r="N469" s="4">
        <v>659</v>
      </c>
      <c r="O469" s="4"/>
      <c r="P469" s="4"/>
      <c r="Q469" s="18">
        <v>100</v>
      </c>
      <c r="R469" s="4">
        <v>24.2</v>
      </c>
      <c r="S469" s="4">
        <v>50.6</v>
      </c>
      <c r="T469" s="4" cm="1">
        <f t="array" ref="T469">_xlfn.IFS(L469&lt;=5,IF(ISNUMBER(X469)=TRUE,X469*1.79+AA469*1.8+Z469*5.56+50000*(10^-L469)-R469,1.79+AA469*1.8+Z469*5.56+50000*(10^-L469)-R469),L469&gt;5,IF(ISNUMBER(X469)=TRUE,X469*1.79+AA469*1.8+50000*(10^-L469)-R469,AA469*1.8+50000*(10^-L469)-R469))</f>
        <v>59.567136270589685</v>
      </c>
      <c r="U469" s="6"/>
      <c r="V469" s="6"/>
      <c r="W469" s="3">
        <v>41.597999999999999</v>
      </c>
      <c r="X469" s="3">
        <v>43.680999999999997</v>
      </c>
      <c r="Z469" s="101">
        <v>0.5</v>
      </c>
      <c r="AA469" s="3">
        <v>3.0640000000000001</v>
      </c>
      <c r="AB469" s="4">
        <v>335.6</v>
      </c>
      <c r="AC469" s="6"/>
      <c r="AD469" s="6"/>
      <c r="AE469" s="8"/>
      <c r="AF469" s="8"/>
      <c r="AG469" s="8"/>
      <c r="AH469" s="6"/>
      <c r="AI469" s="41"/>
      <c r="AJ469" s="6"/>
      <c r="AK469" s="6" t="s">
        <v>363</v>
      </c>
      <c r="AL469" s="4">
        <v>572</v>
      </c>
      <c r="AN469" s="1">
        <f t="shared" ref="AN469" si="273">S469*J469*0.012</f>
        <v>43.621248000000001</v>
      </c>
      <c r="AO469" s="1">
        <f t="shared" ref="AO469" si="274">W469*J469*0.012</f>
        <v>35.860803840000003</v>
      </c>
      <c r="AP469" s="1">
        <f t="shared" ref="AP469" si="275">Z469*J469*0.012</f>
        <v>0.43104000000000003</v>
      </c>
      <c r="AQ469" s="1">
        <f t="shared" ref="AQ469" si="276">AA469*J469*0.012</f>
        <v>2.6414131200000002</v>
      </c>
      <c r="AR469" s="1">
        <f t="shared" ref="AR469" si="277">AB469*J469*0.012</f>
        <v>289.31404800000007</v>
      </c>
      <c r="AS469" s="1">
        <f t="shared" ref="AS469" si="278">0.012*R469*J469</f>
        <v>20.862335999999999</v>
      </c>
    </row>
    <row r="470" spans="1:48" x14ac:dyDescent="0.3">
      <c r="A470" s="5">
        <v>45547</v>
      </c>
      <c r="B470" s="12" t="s">
        <v>20</v>
      </c>
      <c r="C470" t="s">
        <v>286</v>
      </c>
      <c r="E470" t="s">
        <v>288</v>
      </c>
      <c r="F470" s="11"/>
      <c r="G470" s="11"/>
      <c r="H470" t="s">
        <v>218</v>
      </c>
      <c r="J470" s="4">
        <v>86.2089</v>
      </c>
      <c r="K470" s="4" t="s">
        <v>96</v>
      </c>
      <c r="L470" s="2">
        <v>6.14</v>
      </c>
      <c r="M470" s="2">
        <v>5.9</v>
      </c>
      <c r="N470" s="4">
        <v>679</v>
      </c>
      <c r="O470" s="4"/>
      <c r="P470" s="4">
        <v>11.6</v>
      </c>
      <c r="Q470" s="18">
        <v>43</v>
      </c>
      <c r="R470" s="4">
        <v>46</v>
      </c>
      <c r="S470" s="4">
        <v>62.2</v>
      </c>
      <c r="T470" s="4" cm="1">
        <f t="array" ref="T470">_xlfn.IFS(L470&lt;=5,IF(ISNUMBER(X470)=TRUE,X470*1.79+AA470*1.8+Z470*5.56+50000*(10^-L470)-R470,1.79+AA470*1.8+Z470*5.56+50000*(10^-L470)-R470),L470&gt;5,IF(ISNUMBER(X470)=TRUE,X470*1.79+AA470*1.8+50000*(10^-L470)-R470,AA470*1.8+50000*(10^-L470)-R470))</f>
        <v>36.891221798003755</v>
      </c>
      <c r="U470" s="6"/>
      <c r="V470" s="6"/>
      <c r="W470" s="3">
        <v>44.750999999999998</v>
      </c>
      <c r="X470" s="3">
        <v>43.1</v>
      </c>
      <c r="Z470" s="101">
        <v>0.5</v>
      </c>
      <c r="AA470" s="3">
        <v>3.17</v>
      </c>
      <c r="AB470" s="4">
        <v>358</v>
      </c>
      <c r="AC470" s="6"/>
      <c r="AD470" s="6"/>
      <c r="AE470" s="8"/>
      <c r="AF470" s="8"/>
      <c r="AG470" s="8"/>
      <c r="AH470" s="6"/>
      <c r="AI470" s="41"/>
      <c r="AJ470" s="6"/>
      <c r="AK470" s="6" t="s">
        <v>363</v>
      </c>
      <c r="AL470" s="4">
        <v>588</v>
      </c>
      <c r="AN470" s="1">
        <f t="shared" ref="AN470" si="279">S470*J470*0.012</f>
        <v>64.346322960000009</v>
      </c>
      <c r="AO470" s="1">
        <f t="shared" ref="AO470" si="280">W470*J470*0.012</f>
        <v>46.295213806799993</v>
      </c>
      <c r="AP470" s="1">
        <f t="shared" ref="AP470" si="281">Z470*J470*0.012</f>
        <v>0.51725339999999997</v>
      </c>
      <c r="AQ470" s="1">
        <f t="shared" ref="AQ470" si="282">AA470*J470*0.012</f>
        <v>3.2793865560000004</v>
      </c>
      <c r="AR470" s="1">
        <f t="shared" ref="AR470" si="283">AB470*J470*0.012</f>
        <v>370.35343439999997</v>
      </c>
      <c r="AS470" s="1">
        <f t="shared" ref="AS470" si="284">0.012*R470*J470</f>
        <v>47.587312800000007</v>
      </c>
    </row>
    <row r="471" spans="1:48" x14ac:dyDescent="0.3">
      <c r="A471" s="5">
        <v>45595</v>
      </c>
      <c r="B471" s="12" t="s">
        <v>24</v>
      </c>
      <c r="C471" t="s">
        <v>286</v>
      </c>
      <c r="E471" t="s">
        <v>288</v>
      </c>
      <c r="F471" s="11"/>
      <c r="G471" s="11"/>
      <c r="H471" t="s">
        <v>218</v>
      </c>
      <c r="J471" s="4">
        <v>51.81</v>
      </c>
      <c r="K471" s="4" t="s">
        <v>96</v>
      </c>
      <c r="L471" s="2">
        <v>5.72</v>
      </c>
      <c r="M471" s="2">
        <v>6.2</v>
      </c>
      <c r="N471" s="4">
        <v>686</v>
      </c>
      <c r="O471" s="4"/>
      <c r="P471" s="4">
        <v>11.9</v>
      </c>
      <c r="Q471" s="18"/>
      <c r="R471" s="4">
        <v>44</v>
      </c>
      <c r="S471" s="4">
        <v>62</v>
      </c>
      <c r="T471" s="4" cm="1">
        <f t="array" ref="T471">_xlfn.IFS(L471&lt;=5,IF(ISNUMBER(X471)=TRUE,X471*1.79+AA471*1.8+Z471*5.56+50000*(10^-L471)-R471,1.79+AA471*1.8+Z471*5.56+50000*(10^-L471)-R471),L471&gt;5,IF(ISNUMBER(X471)=TRUE,X471*1.79+AA471*1.8+50000*(10^-L471)-R471,AA471*1.8+50000*(10^-L471)-R471))</f>
        <v>45.856533035898153</v>
      </c>
      <c r="U471" s="6"/>
      <c r="V471" s="6"/>
      <c r="W471" s="3">
        <v>43.591999999999999</v>
      </c>
      <c r="X471" s="3">
        <v>47.094000000000001</v>
      </c>
      <c r="Z471" s="101">
        <v>0.5</v>
      </c>
      <c r="AA471" s="3">
        <v>3.0350000000000001</v>
      </c>
      <c r="AB471" s="4">
        <v>355.6</v>
      </c>
      <c r="AC471" s="6"/>
      <c r="AD471" s="6"/>
      <c r="AE471" s="8"/>
      <c r="AF471" s="8"/>
      <c r="AG471" s="8"/>
      <c r="AH471" s="6"/>
      <c r="AI471" s="41"/>
      <c r="AJ471" s="6"/>
      <c r="AK471" s="6" t="s">
        <v>363</v>
      </c>
      <c r="AL471" s="4">
        <v>638</v>
      </c>
      <c r="AN471" s="1">
        <f t="shared" ref="AN471" si="285">S471*J471*0.012</f>
        <v>38.546640000000004</v>
      </c>
      <c r="AO471" s="1">
        <f t="shared" ref="AO471" si="286">W471*J471*0.012</f>
        <v>27.102018240000003</v>
      </c>
      <c r="AP471" s="1">
        <f t="shared" ref="AP471" si="287">Z471*J471*0.012</f>
        <v>0.31086000000000003</v>
      </c>
      <c r="AQ471" s="1">
        <f t="shared" ref="AQ471" si="288">AA471*J471*0.012</f>
        <v>1.8869202000000003</v>
      </c>
      <c r="AR471" s="1">
        <f t="shared" ref="AR471" si="289">AB471*J471*0.012</f>
        <v>221.08363200000002</v>
      </c>
      <c r="AS471" s="1">
        <f t="shared" ref="AS471" si="290">0.012*R471*J471</f>
        <v>27.355680000000003</v>
      </c>
    </row>
    <row r="472" spans="1:48" x14ac:dyDescent="0.3">
      <c r="A472" s="5">
        <v>45617</v>
      </c>
      <c r="C472" t="s">
        <v>286</v>
      </c>
      <c r="E472" t="s">
        <v>288</v>
      </c>
      <c r="F472" s="11"/>
      <c r="G472" s="11"/>
      <c r="H472" t="s">
        <v>218</v>
      </c>
      <c r="J472" s="4">
        <v>46</v>
      </c>
      <c r="K472" s="4" t="s">
        <v>96</v>
      </c>
      <c r="L472" s="2">
        <v>6.19</v>
      </c>
      <c r="M472" s="2">
        <v>5.9</v>
      </c>
      <c r="N472" s="4">
        <v>706</v>
      </c>
      <c r="O472" s="4"/>
      <c r="P472" s="4">
        <v>10.9</v>
      </c>
      <c r="Q472" s="18">
        <v>46</v>
      </c>
      <c r="R472" s="4">
        <v>43.4</v>
      </c>
      <c r="S472" s="4">
        <v>66</v>
      </c>
      <c r="T472" s="4" cm="1">
        <f t="array" ref="T472">_xlfn.IFS(L472&lt;=5,IF(ISNUMBER(X472)=TRUE,X472*1.79+AA472*1.8+Z472*5.56+50000*(10^-L472)-R472,1.79+AA472*1.8+Z472*5.56+50000*(10^-L472)-R472),L472&gt;5,IF(ISNUMBER(X472)=TRUE,X472*1.79+AA472*1.8+50000*(10^-L472)-R472,AA472*1.8+50000*(10^-L472)-R472))</f>
        <v>43.912152711451732</v>
      </c>
      <c r="U472" s="6"/>
      <c r="V472" s="6"/>
      <c r="W472" s="3">
        <v>48.156999999999996</v>
      </c>
      <c r="X472" s="3">
        <v>45.393000000000001</v>
      </c>
      <c r="Z472" s="101">
        <v>0.5</v>
      </c>
      <c r="AA472" s="3">
        <v>3.3479999999999999</v>
      </c>
      <c r="AB472" s="4">
        <v>372.4</v>
      </c>
      <c r="AC472" s="6"/>
      <c r="AD472" s="6"/>
      <c r="AE472" s="8"/>
      <c r="AF472" s="8"/>
      <c r="AG472" s="8"/>
      <c r="AH472" s="6"/>
      <c r="AI472" s="41"/>
      <c r="AJ472" s="6"/>
      <c r="AK472" s="6" t="s">
        <v>363</v>
      </c>
      <c r="AL472" s="4">
        <v>552</v>
      </c>
      <c r="AN472" s="1">
        <f t="shared" ref="AN472" si="291">S472*J472*0.012</f>
        <v>36.432000000000002</v>
      </c>
      <c r="AO472" s="1">
        <f t="shared" ref="AO472" si="292">W472*J472*0.012</f>
        <v>26.582663999999998</v>
      </c>
      <c r="AP472" s="1">
        <f t="shared" ref="AP472" si="293">Z472*J472*0.012</f>
        <v>0.27600000000000002</v>
      </c>
      <c r="AQ472" s="1">
        <f t="shared" ref="AQ472" si="294">AA472*J472*0.012</f>
        <v>1.8480959999999997</v>
      </c>
      <c r="AR472" s="1">
        <f t="shared" ref="AR472" si="295">AB472*J472*0.012</f>
        <v>205.56479999999999</v>
      </c>
      <c r="AS472" s="1">
        <f t="shared" ref="AS472" si="296">0.012*R472*J472</f>
        <v>23.956800000000001</v>
      </c>
    </row>
    <row r="473" spans="1:48" x14ac:dyDescent="0.3">
      <c r="A473" s="5">
        <v>45644</v>
      </c>
      <c r="B473" s="12" t="s">
        <v>416</v>
      </c>
      <c r="C473" t="s">
        <v>286</v>
      </c>
      <c r="E473" t="s">
        <v>288</v>
      </c>
      <c r="F473" s="11"/>
      <c r="G473" s="11"/>
      <c r="H473" t="s">
        <v>299</v>
      </c>
      <c r="J473" s="4">
        <v>60</v>
      </c>
      <c r="K473" s="4" t="s">
        <v>96</v>
      </c>
      <c r="L473" s="2">
        <v>6.14</v>
      </c>
      <c r="M473" s="2">
        <v>5.9</v>
      </c>
      <c r="N473" s="4">
        <v>690</v>
      </c>
      <c r="O473" s="4"/>
      <c r="P473" s="4"/>
      <c r="Q473" s="18"/>
      <c r="R473" s="4">
        <v>32.4</v>
      </c>
      <c r="S473" s="4">
        <v>52.6</v>
      </c>
      <c r="T473" s="4" cm="1">
        <f t="array" ref="T473">_xlfn.IFS(M473&lt;=5,IF(ISNUMBER(X473)=TRUE,X473*1.79+AA473*1.8+Z473*5.56+50000*(10^-M473)-R473,1.79+AA473*1.8+Z473*5.56+50000*(10^-M473)-R473),M473&gt;5,IF(ISNUMBER(X473)=TRUE,X473*1.79+AA473*1.8+50000*(10^-M473)-R473,AA473*1.8+50000*(10^-M473)-R473))</f>
        <v>53.636416270589699</v>
      </c>
      <c r="U473" s="6"/>
      <c r="V473" s="6"/>
      <c r="W473" s="3">
        <v>43.521000000000001</v>
      </c>
      <c r="X473" s="3">
        <v>44.993000000000002</v>
      </c>
      <c r="Z473" s="101">
        <v>0.5</v>
      </c>
      <c r="AA473" s="3">
        <v>3.02</v>
      </c>
      <c r="AB473" s="10">
        <v>1006.2</v>
      </c>
      <c r="AC473" s="6"/>
      <c r="AD473" s="6"/>
      <c r="AE473" s="8"/>
      <c r="AF473" s="8"/>
      <c r="AG473" s="8"/>
      <c r="AH473" s="6"/>
      <c r="AI473" s="41"/>
      <c r="AJ473" s="6"/>
      <c r="AK473" s="6" t="s">
        <v>363</v>
      </c>
      <c r="AL473" s="4">
        <v>584</v>
      </c>
      <c r="AN473" s="1">
        <f t="shared" ref="AN473" si="297">S473*J473*0.012</f>
        <v>37.872</v>
      </c>
      <c r="AO473" s="1">
        <f t="shared" ref="AO473" si="298">W473*J473*0.012</f>
        <v>31.335120000000003</v>
      </c>
      <c r="AP473" s="1">
        <f t="shared" ref="AP473" si="299">Z473*J473*0.012</f>
        <v>0.36</v>
      </c>
      <c r="AQ473" s="1">
        <f t="shared" ref="AQ473" si="300">AA473*J473*0.012</f>
        <v>2.1743999999999999</v>
      </c>
      <c r="AR473" s="1">
        <f t="shared" ref="AR473" si="301">AB473*J473*0.012</f>
        <v>724.46400000000006</v>
      </c>
      <c r="AS473" s="1">
        <f t="shared" ref="AS473" si="302">0.012*R473*J473</f>
        <v>23.327999999999999</v>
      </c>
    </row>
    <row r="474" spans="1:48" x14ac:dyDescent="0.3">
      <c r="A474" s="5">
        <v>45687</v>
      </c>
      <c r="B474" s="12" t="s">
        <v>422</v>
      </c>
      <c r="C474" t="s">
        <v>286</v>
      </c>
      <c r="E474" t="s">
        <v>288</v>
      </c>
      <c r="F474" s="11"/>
      <c r="G474" s="11"/>
      <c r="H474" t="s">
        <v>218</v>
      </c>
      <c r="J474" s="4">
        <v>71.2</v>
      </c>
      <c r="K474" s="4" t="s">
        <v>96</v>
      </c>
      <c r="L474" s="2">
        <v>6.19</v>
      </c>
      <c r="M474" s="2">
        <v>5.5</v>
      </c>
      <c r="N474" s="4">
        <v>541</v>
      </c>
      <c r="O474" s="4"/>
      <c r="P474" s="4">
        <v>10.199999999999999</v>
      </c>
      <c r="Q474" s="18">
        <v>43</v>
      </c>
      <c r="R474" s="4">
        <v>18</v>
      </c>
      <c r="S474" s="4">
        <v>61.6</v>
      </c>
      <c r="T474" s="4" cm="1">
        <f t="array" ref="T474">_xlfn.IFS(M474&lt;=5,IF(ISNUMBER(X474)=TRUE,X474*1.79+AA474*1.8+Z474*5.56+50000*(10^-M474)-R474,1.79+AA474*1.8+Z474*5.56+50000*(10^-M474)-R474),M474&gt;5,IF(ISNUMBER(X474)=TRUE,X474*1.79+AA474*1.8+50000*(10^-M474)-R474,AA474*1.8+50000*(10^-M474)-R474))</f>
        <v>69.900793883008433</v>
      </c>
      <c r="U474" s="6"/>
      <c r="V474" s="6"/>
      <c r="W474" s="3">
        <v>46.966999999999999</v>
      </c>
      <c r="X474" s="3">
        <v>45.731999999999999</v>
      </c>
      <c r="Z474" s="101">
        <v>0.5</v>
      </c>
      <c r="AA474" s="3">
        <v>3.2679999999999998</v>
      </c>
      <c r="AB474" s="18">
        <v>334.8</v>
      </c>
      <c r="AC474" s="6"/>
      <c r="AD474" s="6"/>
      <c r="AE474" s="8"/>
      <c r="AF474" s="8"/>
      <c r="AG474" s="8"/>
      <c r="AH474" s="6"/>
      <c r="AI474" s="41"/>
      <c r="AJ474" s="6"/>
      <c r="AK474" s="6" t="s">
        <v>363</v>
      </c>
      <c r="AL474" s="4">
        <v>530</v>
      </c>
      <c r="AN474" s="1">
        <f t="shared" ref="AN474" si="303">S474*J474*0.012</f>
        <v>52.631039999999999</v>
      </c>
      <c r="AO474" s="1">
        <f t="shared" ref="AO474" si="304">W474*J474*0.012</f>
        <v>40.128604800000005</v>
      </c>
      <c r="AP474" s="1">
        <f t="shared" ref="AP474" si="305">Z474*J474*0.012</f>
        <v>0.42720000000000002</v>
      </c>
      <c r="AQ474" s="1">
        <f t="shared" ref="AQ474" si="306">AA474*J474*0.012</f>
        <v>2.7921792000000001</v>
      </c>
      <c r="AR474" s="1">
        <f t="shared" ref="AR474" si="307">AB474*J474*0.012</f>
        <v>286.05312000000004</v>
      </c>
      <c r="AS474" s="1">
        <f t="shared" ref="AS474" si="308">0.012*R474*J474</f>
        <v>15.379200000000001</v>
      </c>
    </row>
    <row r="476" spans="1:48" x14ac:dyDescent="0.3">
      <c r="A476" s="5">
        <v>45098</v>
      </c>
      <c r="B476" s="12" t="s">
        <v>84</v>
      </c>
      <c r="C476" t="s">
        <v>289</v>
      </c>
      <c r="E476" t="s">
        <v>290</v>
      </c>
      <c r="F476" s="11"/>
      <c r="G476" s="11"/>
      <c r="H476" t="s">
        <v>93</v>
      </c>
      <c r="J476" s="1">
        <v>23.1</v>
      </c>
      <c r="K476" t="s">
        <v>96</v>
      </c>
      <c r="L476" s="2">
        <v>5.94</v>
      </c>
      <c r="M476" s="2">
        <v>6</v>
      </c>
      <c r="N476" s="1">
        <v>634</v>
      </c>
      <c r="O476" s="1">
        <v>709</v>
      </c>
      <c r="P476" s="3">
        <v>10.9</v>
      </c>
      <c r="Q476" s="4">
        <v>38</v>
      </c>
      <c r="R476" s="40">
        <v>34.4</v>
      </c>
      <c r="S476" s="40">
        <v>59.4</v>
      </c>
      <c r="T476" s="4" cm="1">
        <f t="array" ref="T476">_xlfn.IFS(L476&lt;=5,IF(ISNUMBER(X476)=TRUE,X476*1.79+AA476*1.8+Z476*5.56+50000*(10^-L476)-Q476,1.79+AA476*1.8+Z476*5.56+50000*(10^-L476)-Q476),L476&gt;5,IF(ISNUMBER(X476)=TRUE,X476*1.79+AA476*1.8+50000*(10^-L476)-Q476,AA476*1.8+50000*(10^-L476)-Q476))</f>
        <v>38.053147681074847</v>
      </c>
      <c r="U476" s="6"/>
      <c r="V476" s="6"/>
      <c r="W476" s="8">
        <v>43.2</v>
      </c>
      <c r="X476" s="8">
        <v>38.905999999999999</v>
      </c>
      <c r="Y476" s="8"/>
      <c r="Z476" s="8">
        <v>0.3</v>
      </c>
      <c r="AA476" s="8">
        <v>3.53</v>
      </c>
      <c r="AB476" s="6"/>
      <c r="AC476" s="6">
        <v>73.099999999999994</v>
      </c>
      <c r="AD476" s="6">
        <v>30.6</v>
      </c>
      <c r="AE476" s="8">
        <v>2.82</v>
      </c>
      <c r="AF476" s="8">
        <v>2.23</v>
      </c>
      <c r="AG476" s="8">
        <v>4</v>
      </c>
      <c r="AH476" s="6">
        <v>0.05</v>
      </c>
      <c r="AI476" s="41">
        <v>3.1E-2</v>
      </c>
      <c r="AJ476" s="6">
        <v>0.2</v>
      </c>
      <c r="AK476" s="6"/>
      <c r="AL476" s="6"/>
      <c r="AN476" s="1">
        <f t="shared" ref="AN476" si="309">S476*J476*0.012</f>
        <v>16.465680000000003</v>
      </c>
      <c r="AO476" s="1">
        <f t="shared" ref="AO476" si="310">W476*J476*0.012</f>
        <v>11.975040000000002</v>
      </c>
      <c r="AP476" s="1">
        <f t="shared" ref="AP476" si="311">Z476*J476*0.012</f>
        <v>8.3160000000000012E-2</v>
      </c>
      <c r="AQ476" s="1">
        <f t="shared" ref="AQ476" si="312">AA476*J476*0.012</f>
        <v>0.97851600000000005</v>
      </c>
      <c r="AR476" s="1">
        <f t="shared" ref="AR476" si="313">AB476*J476*0.012</f>
        <v>0</v>
      </c>
      <c r="AS476" s="1">
        <f t="shared" si="260"/>
        <v>9.535680000000001</v>
      </c>
      <c r="AU476" s="13"/>
      <c r="AV476" s="13"/>
    </row>
    <row r="477" spans="1:48" x14ac:dyDescent="0.3">
      <c r="A477" s="5">
        <v>45169</v>
      </c>
      <c r="B477" s="12" t="s">
        <v>50</v>
      </c>
      <c r="C477" t="s">
        <v>289</v>
      </c>
      <c r="E477" t="s">
        <v>290</v>
      </c>
      <c r="F477" s="11"/>
      <c r="G477" s="11"/>
      <c r="H477" t="s">
        <v>256</v>
      </c>
      <c r="J477" s="1">
        <v>22.2</v>
      </c>
      <c r="K477" t="s">
        <v>96</v>
      </c>
      <c r="L477" s="2">
        <v>5.75</v>
      </c>
      <c r="M477" s="2">
        <v>5.7</v>
      </c>
      <c r="N477" s="1">
        <v>727</v>
      </c>
      <c r="O477" s="1">
        <v>693</v>
      </c>
      <c r="R477" s="40">
        <v>27.8</v>
      </c>
      <c r="S477" s="40">
        <v>84.6</v>
      </c>
      <c r="T477" s="4" cm="1">
        <f t="array" ref="T477">_xlfn.IFS(L477&lt;=5,IF(ISNUMBER(X477)=TRUE,X477*1.79+AA477*1.8+Z477*5.56+50000*(10^-L477)-R477,1.79+AA477*1.8+Z477*5.56+50000*(10^-L477)-R477),L477&gt;5,IF(ISNUMBER(X477)=TRUE,X477*1.79+AA477*1.8+50000*(10^-L477)-R477,AA477*1.8+50000*(10^-L477)-R477))</f>
        <v>56.163443970501959</v>
      </c>
      <c r="U477" s="6"/>
      <c r="V477" s="6"/>
      <c r="W477" s="8">
        <v>45.3</v>
      </c>
      <c r="X477" s="8">
        <v>43.207000000000001</v>
      </c>
      <c r="Y477" s="8"/>
      <c r="Z477" s="8">
        <v>0.3</v>
      </c>
      <c r="AA477" s="8">
        <v>3.63</v>
      </c>
      <c r="AB477" s="6">
        <v>345</v>
      </c>
      <c r="AC477" s="6">
        <v>74.400000000000006</v>
      </c>
      <c r="AD477" s="6">
        <v>30.7</v>
      </c>
      <c r="AE477" s="8">
        <v>2.88</v>
      </c>
      <c r="AF477" s="8">
        <v>2.2599999999999998</v>
      </c>
      <c r="AG477" s="8">
        <v>4</v>
      </c>
      <c r="AH477" s="6">
        <v>0.05</v>
      </c>
      <c r="AI477" s="41">
        <v>3.5000000000000003E-2</v>
      </c>
      <c r="AJ477" s="6">
        <v>0.2</v>
      </c>
      <c r="AK477" s="6"/>
      <c r="AL477" s="6"/>
      <c r="AN477" s="1">
        <f t="shared" ref="AN477" si="314">S477*J477*0.012</f>
        <v>22.53744</v>
      </c>
      <c r="AO477" s="1">
        <f t="shared" ref="AO477" si="315">W477*J477*0.012</f>
        <v>12.067919999999999</v>
      </c>
      <c r="AP477" s="1">
        <f t="shared" ref="AP477" si="316">Z477*J477*0.012</f>
        <v>7.9919999999999991E-2</v>
      </c>
      <c r="AQ477" s="1">
        <f t="shared" ref="AQ477" si="317">AA477*J477*0.012</f>
        <v>0.967032</v>
      </c>
      <c r="AR477" s="1">
        <f>AB477*J477*0.012</f>
        <v>91.908000000000001</v>
      </c>
      <c r="AS477" s="1">
        <f t="shared" si="260"/>
        <v>7.4059200000000001</v>
      </c>
      <c r="AU477" s="13"/>
      <c r="AV477" s="13"/>
    </row>
    <row r="478" spans="1:48" x14ac:dyDescent="0.3">
      <c r="A478" s="5">
        <v>45352</v>
      </c>
      <c r="C478" t="s">
        <v>289</v>
      </c>
      <c r="E478" t="s">
        <v>290</v>
      </c>
      <c r="F478" s="11"/>
      <c r="G478" s="11"/>
      <c r="H478" t="s">
        <v>218</v>
      </c>
      <c r="J478" s="1">
        <f>'Penn Run'!J135</f>
        <v>36.383027999999996</v>
      </c>
      <c r="K478" s="1" t="str">
        <f>'Penn Run'!K135</f>
        <v>M</v>
      </c>
      <c r="L478" s="43">
        <f>'Penn Run'!L135</f>
        <v>6.04</v>
      </c>
      <c r="M478" s="43">
        <f>'Penn Run'!M135</f>
        <v>5.8</v>
      </c>
      <c r="N478" s="1">
        <f>'Penn Run'!N135</f>
        <v>676</v>
      </c>
      <c r="O478" s="43"/>
      <c r="P478" s="1">
        <f>'Penn Run'!P135</f>
        <v>10</v>
      </c>
      <c r="Q478" s="43"/>
      <c r="R478" s="1">
        <f>'Penn Run'!R135</f>
        <v>39</v>
      </c>
      <c r="S478" s="1">
        <f>'Penn Run'!S135</f>
        <v>48.6</v>
      </c>
      <c r="T478" s="1">
        <f>'Penn Run'!T135</f>
        <v>39.013341548545952</v>
      </c>
      <c r="U478" s="43"/>
      <c r="V478" s="43"/>
      <c r="W478" s="31">
        <f>'Penn Run'!W135</f>
        <v>42.887</v>
      </c>
      <c r="X478" s="31">
        <f>'Penn Run'!X135</f>
        <v>40.225000000000001</v>
      </c>
      <c r="Y478" s="31"/>
      <c r="Z478" s="100">
        <f>'Penn Run'!Z135</f>
        <v>0.5</v>
      </c>
      <c r="AA478" s="31">
        <f>'Penn Run'!AA135</f>
        <v>3.32</v>
      </c>
      <c r="AB478" s="1">
        <f>'Penn Run'!AB135</f>
        <v>326</v>
      </c>
      <c r="AC478" s="6"/>
      <c r="AD478" s="6"/>
      <c r="AE478" s="8"/>
      <c r="AF478" s="8"/>
      <c r="AG478" s="8"/>
      <c r="AH478" s="6"/>
      <c r="AI478" s="41"/>
      <c r="AJ478" s="6"/>
      <c r="AK478" s="6"/>
      <c r="AL478" s="6"/>
      <c r="AN478" s="1">
        <f t="shared" ref="AN478:AN479" si="318">S478*J478*0.012</f>
        <v>21.218581929599999</v>
      </c>
      <c r="AO478" s="1">
        <f t="shared" ref="AO478:AO479" si="319">W478*J478*0.012</f>
        <v>18.724307062031997</v>
      </c>
      <c r="AP478" s="1">
        <f t="shared" ref="AP478:AP479" si="320">Z478*J478*0.012</f>
        <v>0.21829816799999999</v>
      </c>
      <c r="AQ478" s="1">
        <f t="shared" ref="AQ478:AQ479" si="321">AA478*J478*0.012</f>
        <v>1.4494998355199997</v>
      </c>
      <c r="AR478" s="1">
        <f t="shared" ref="AR478:AR479" si="322">AB478*J478*0.012</f>
        <v>142.33040553599997</v>
      </c>
      <c r="AS478" s="1">
        <f t="shared" si="260"/>
        <v>17.027257104</v>
      </c>
      <c r="AU478" s="13"/>
      <c r="AV478" s="13"/>
    </row>
    <row r="479" spans="1:48" x14ac:dyDescent="0.3">
      <c r="A479" s="5">
        <v>45392</v>
      </c>
      <c r="B479" s="12" t="s">
        <v>22</v>
      </c>
      <c r="C479" t="s">
        <v>289</v>
      </c>
      <c r="E479" t="s">
        <v>290</v>
      </c>
      <c r="F479" s="11"/>
      <c r="G479" s="11"/>
      <c r="H479" t="s">
        <v>218</v>
      </c>
      <c r="J479" s="1">
        <v>46.3</v>
      </c>
      <c r="K479" t="s">
        <v>96</v>
      </c>
      <c r="L479" s="2">
        <v>5.85</v>
      </c>
      <c r="M479" s="2">
        <v>5.8</v>
      </c>
      <c r="N479" s="1">
        <v>605</v>
      </c>
      <c r="P479" s="3">
        <v>10.199999999999999</v>
      </c>
      <c r="R479" s="40">
        <v>34</v>
      </c>
      <c r="S479" s="40">
        <v>56.2</v>
      </c>
      <c r="T479" s="4" cm="1">
        <f t="array" ref="T479">_xlfn.IFS(L479&lt;=5,IF(ISNUMBER(X479)=TRUE,X479*1.79+AA479*1.8+Z479*5.56+50000*(10^-L479)-R479,1.79+AA479*1.8+Z479*5.56+50000*(10^-L479)-R479),L479&gt;5,IF(ISNUMBER(X479)=TRUE,X479*1.79+AA479*1.8+50000*(10^-L479)-R479,AA479*1.8+50000*(10^-L479)-R479))</f>
        <v>36.967206877231149</v>
      </c>
      <c r="U479" s="6"/>
      <c r="V479" s="6"/>
      <c r="W479" s="8">
        <v>38.082000000000001</v>
      </c>
      <c r="X479" s="8">
        <v>36.002000000000002</v>
      </c>
      <c r="Y479" s="8"/>
      <c r="Z479" s="100">
        <v>0.5</v>
      </c>
      <c r="AA479" s="8">
        <v>3.585</v>
      </c>
      <c r="AB479" s="40">
        <v>307.89999999999998</v>
      </c>
      <c r="AC479" s="6"/>
      <c r="AD479" s="6"/>
      <c r="AE479" s="8"/>
      <c r="AF479" s="8"/>
      <c r="AG479" s="8"/>
      <c r="AH479" s="6"/>
      <c r="AI479" s="41"/>
      <c r="AJ479" s="6"/>
      <c r="AK479" s="6" t="s">
        <v>363</v>
      </c>
      <c r="AL479" s="6">
        <v>496</v>
      </c>
      <c r="AN479" s="1">
        <f t="shared" si="318"/>
        <v>31.224720000000001</v>
      </c>
      <c r="AO479" s="1">
        <f t="shared" si="319"/>
        <v>21.1583592</v>
      </c>
      <c r="AP479" s="1">
        <f t="shared" si="320"/>
        <v>0.27779999999999999</v>
      </c>
      <c r="AQ479" s="1">
        <f t="shared" si="321"/>
        <v>1.9918260000000001</v>
      </c>
      <c r="AR479" s="1">
        <f t="shared" si="322"/>
        <v>171.06923999999998</v>
      </c>
      <c r="AS479" s="1">
        <f t="shared" si="260"/>
        <v>18.8904</v>
      </c>
      <c r="AU479" s="13"/>
      <c r="AV479" s="13"/>
    </row>
    <row r="480" spans="1:48" x14ac:dyDescent="0.3">
      <c r="A480" s="5">
        <v>45442</v>
      </c>
      <c r="B480" s="12" t="s">
        <v>22</v>
      </c>
      <c r="C480" t="s">
        <v>289</v>
      </c>
      <c r="E480" t="s">
        <v>290</v>
      </c>
      <c r="F480" s="11"/>
      <c r="G480" s="11"/>
      <c r="H480" t="s">
        <v>218</v>
      </c>
      <c r="J480" s="1">
        <v>30.3</v>
      </c>
      <c r="K480" t="s">
        <v>96</v>
      </c>
      <c r="L480" s="2">
        <v>5.71</v>
      </c>
      <c r="M480" s="2">
        <v>6</v>
      </c>
      <c r="N480" s="1">
        <v>714</v>
      </c>
      <c r="P480" s="3">
        <v>10.8</v>
      </c>
      <c r="R480" s="40">
        <v>38.6</v>
      </c>
      <c r="S480" s="40">
        <v>56.8</v>
      </c>
      <c r="T480" s="4" cm="1">
        <f t="array" ref="T480">_xlfn.IFS(L480&lt;=5,IF(ISNUMBER(X480)=TRUE,X480*1.79+AA480*1.8+Z480*5.56+50000*(10^-L480)-R480,1.79+AA480*1.8+Z480*5.56+50000*(10^-L480)-R480),L480&gt;5,IF(ISNUMBER(X480)=TRUE,X480*1.79+AA480*1.8+50000*(10^-L480)-R480,AA480*1.8+50000*(10^-L480)-R480))</f>
        <v>35.372972229987916</v>
      </c>
      <c r="U480" s="6"/>
      <c r="V480" s="6"/>
      <c r="W480" s="8">
        <v>39.988999999999997</v>
      </c>
      <c r="X480" s="8">
        <v>37.811999999999998</v>
      </c>
      <c r="Y480" s="8"/>
      <c r="Z480" s="100">
        <v>0.5</v>
      </c>
      <c r="AA480" s="8">
        <v>3.44</v>
      </c>
      <c r="AB480" s="40">
        <v>330.4</v>
      </c>
      <c r="AC480" s="6"/>
      <c r="AD480" s="6"/>
      <c r="AE480" s="8"/>
      <c r="AF480" s="8"/>
      <c r="AG480" s="8"/>
      <c r="AH480" s="6"/>
      <c r="AI480" s="41"/>
      <c r="AJ480" s="6"/>
      <c r="AK480" s="6" t="s">
        <v>363</v>
      </c>
      <c r="AL480" s="6">
        <v>594</v>
      </c>
      <c r="AN480" s="1">
        <f t="shared" ref="AN480:AN481" si="323">S480*J480*0.012</f>
        <v>20.652480000000001</v>
      </c>
      <c r="AO480" s="1">
        <f t="shared" ref="AO480:AO481" si="324">W480*J480*0.012</f>
        <v>14.5400004</v>
      </c>
      <c r="AP480" s="1">
        <f t="shared" ref="AP480:AP481" si="325">Z480*J480*0.012</f>
        <v>0.18180000000000002</v>
      </c>
      <c r="AQ480" s="1">
        <f t="shared" ref="AQ480:AQ481" si="326">AA480*J480*0.012</f>
        <v>1.2507840000000001</v>
      </c>
      <c r="AR480" s="1">
        <f t="shared" ref="AR480:AR481" si="327">AB480*J480*0.012</f>
        <v>120.13343999999999</v>
      </c>
      <c r="AS480" s="1">
        <f t="shared" ref="AS480:AS481" si="328">0.012*R480*J480</f>
        <v>14.03496</v>
      </c>
      <c r="AU480" s="13"/>
      <c r="AV480" s="13"/>
    </row>
    <row r="481" spans="1:48" x14ac:dyDescent="0.3">
      <c r="A481" s="5">
        <v>45461</v>
      </c>
      <c r="B481" s="12" t="s">
        <v>22</v>
      </c>
      <c r="C481" t="s">
        <v>289</v>
      </c>
      <c r="E481" t="s">
        <v>290</v>
      </c>
      <c r="F481" s="11"/>
      <c r="G481" s="11"/>
      <c r="H481" t="s">
        <v>218</v>
      </c>
      <c r="J481" s="4">
        <v>29.26</v>
      </c>
      <c r="K481" s="4" t="s">
        <v>96</v>
      </c>
      <c r="L481" s="43">
        <v>5.7</v>
      </c>
      <c r="M481" s="43">
        <v>5.8</v>
      </c>
      <c r="N481" s="4">
        <v>684</v>
      </c>
      <c r="O481" s="4"/>
      <c r="P481" s="4">
        <v>11</v>
      </c>
      <c r="Q481" s="4">
        <v>29</v>
      </c>
      <c r="R481" s="40">
        <v>35.200000000000003</v>
      </c>
      <c r="S481" s="40">
        <v>55.8</v>
      </c>
      <c r="T481" s="4" cm="1">
        <f t="array" ref="T481">_xlfn.IFS(L481&lt;=5,IF(ISNUMBER(X481)=TRUE,X481*1.79+AA481*1.8+Z481*5.56+50000*(10^-L481)-Q481,1.79+AA481*1.8+Z481*5.56+50000*(10^-L481)-Q481),L481&gt;5,IF(ISNUMBER(X481)=TRUE,X481*1.79+AA481*1.8+50000*(10^-L481)-Q481,AA481*1.8+50000*(10^-L481)-Q481))</f>
        <v>43.871913115748441</v>
      </c>
      <c r="U481" s="6"/>
      <c r="V481" s="6"/>
      <c r="W481" s="8">
        <v>39.71</v>
      </c>
      <c r="X481" s="8">
        <v>37.445</v>
      </c>
      <c r="Y481" s="8"/>
      <c r="Z481" s="100">
        <v>0.5</v>
      </c>
      <c r="AA481" s="8">
        <v>3.1920000000000002</v>
      </c>
      <c r="AB481" s="40">
        <v>320.5</v>
      </c>
      <c r="AC481" s="6"/>
      <c r="AD481" s="6"/>
      <c r="AE481" s="8"/>
      <c r="AF481" s="8"/>
      <c r="AG481" s="8"/>
      <c r="AH481" s="6"/>
      <c r="AI481" s="41"/>
      <c r="AJ481" s="6"/>
      <c r="AK481" s="6" t="s">
        <v>363</v>
      </c>
      <c r="AL481" s="6">
        <v>624</v>
      </c>
      <c r="AN481" s="1">
        <f t="shared" si="323"/>
        <v>19.592496000000001</v>
      </c>
      <c r="AO481" s="1">
        <f t="shared" si="324"/>
        <v>13.942975200000001</v>
      </c>
      <c r="AP481" s="1">
        <f t="shared" si="325"/>
        <v>0.17556000000000002</v>
      </c>
      <c r="AQ481" s="1">
        <f t="shared" si="326"/>
        <v>1.1207750400000003</v>
      </c>
      <c r="AR481" s="1">
        <f t="shared" si="327"/>
        <v>112.53396000000001</v>
      </c>
      <c r="AS481" s="1">
        <f t="shared" si="328"/>
        <v>12.359424000000002</v>
      </c>
      <c r="AU481" s="13"/>
      <c r="AV481" s="13"/>
    </row>
    <row r="482" spans="1:48" x14ac:dyDescent="0.3">
      <c r="A482" s="5">
        <v>45483</v>
      </c>
      <c r="B482" s="12" t="s">
        <v>22</v>
      </c>
      <c r="C482" t="s">
        <v>289</v>
      </c>
      <c r="E482" t="s">
        <v>290</v>
      </c>
      <c r="F482" s="11"/>
      <c r="G482" s="11"/>
      <c r="H482" t="s">
        <v>218</v>
      </c>
      <c r="J482" s="4">
        <v>27.055</v>
      </c>
      <c r="K482" s="4" t="s">
        <v>96</v>
      </c>
      <c r="L482" s="43">
        <v>5.83</v>
      </c>
      <c r="M482" s="2">
        <v>5.7</v>
      </c>
      <c r="N482" s="4">
        <v>710</v>
      </c>
      <c r="O482" s="4"/>
      <c r="P482" s="4">
        <v>11.3</v>
      </c>
      <c r="Q482" s="4">
        <v>27</v>
      </c>
      <c r="R482" s="4">
        <v>16</v>
      </c>
      <c r="S482" s="4">
        <v>44.8</v>
      </c>
      <c r="T482" s="4" cm="1">
        <f t="array" ref="T482">_xlfn.IFS(L482&lt;=5,IF(ISNUMBER(X482)=TRUE,X482*1.79+AA482*1.8+Z482*5.56+50000*(10^-L482)-Q482,1.79+AA482*1.8+Z482*5.56+50000*(10^-L482)-Q482),L482&gt;5,IF(ISNUMBER(X482)=TRUE,X482*1.79+AA482*1.8+50000*(10^-L482)-Q482,AA482*1.8+50000*(10^-L482)-Q482))</f>
        <v>49.317135419408416</v>
      </c>
      <c r="U482" s="6"/>
      <c r="V482" s="6"/>
      <c r="W482" s="3">
        <v>49.97</v>
      </c>
      <c r="X482" s="3">
        <v>39.362000000000002</v>
      </c>
      <c r="Z482" s="100">
        <v>0.5</v>
      </c>
      <c r="AA482" s="3">
        <v>3.214</v>
      </c>
      <c r="AB482" s="4">
        <v>335</v>
      </c>
      <c r="AC482" s="6"/>
      <c r="AD482" s="6"/>
      <c r="AE482" s="8"/>
      <c r="AF482" s="8"/>
      <c r="AG482" s="8"/>
      <c r="AH482" s="6"/>
      <c r="AI482" s="41"/>
      <c r="AJ482" s="6"/>
      <c r="AK482" s="4">
        <v>36</v>
      </c>
      <c r="AL482" s="4">
        <v>550</v>
      </c>
      <c r="AN482" s="1">
        <f t="shared" ref="AN482" si="329">S482*J482*0.012</f>
        <v>14.544767999999998</v>
      </c>
      <c r="AO482" s="1">
        <f t="shared" ref="AO482" si="330">W482*J482*0.012</f>
        <v>16.223260199999999</v>
      </c>
      <c r="AP482" s="1">
        <f t="shared" ref="AP482" si="331">Z482*J482*0.012</f>
        <v>0.16233</v>
      </c>
      <c r="AQ482" s="1">
        <f t="shared" ref="AQ482" si="332">AA482*J482*0.012</f>
        <v>1.04345724</v>
      </c>
      <c r="AR482" s="1">
        <f t="shared" ref="AR482" si="333">AB482*J482*0.012</f>
        <v>108.7611</v>
      </c>
      <c r="AS482" s="1">
        <f t="shared" ref="AS482" si="334">0.012*R482*J482</f>
        <v>5.1945600000000001</v>
      </c>
      <c r="AU482" s="13"/>
      <c r="AV482" s="13"/>
    </row>
    <row r="483" spans="1:48" x14ac:dyDescent="0.3">
      <c r="A483" s="5">
        <v>45527</v>
      </c>
      <c r="B483" s="12" t="s">
        <v>27</v>
      </c>
      <c r="C483" t="s">
        <v>289</v>
      </c>
      <c r="E483" t="s">
        <v>290</v>
      </c>
      <c r="F483" s="11"/>
      <c r="G483" s="11"/>
      <c r="H483" t="s">
        <v>218</v>
      </c>
      <c r="J483" s="4">
        <f>0.07*449</f>
        <v>31.430000000000003</v>
      </c>
      <c r="K483" s="4" t="s">
        <v>96</v>
      </c>
      <c r="L483" s="43">
        <v>5.58</v>
      </c>
      <c r="M483" s="2">
        <v>5.8</v>
      </c>
      <c r="N483" s="4">
        <v>631</v>
      </c>
      <c r="O483" s="4"/>
      <c r="P483" s="4"/>
      <c r="Q483" s="4">
        <v>38</v>
      </c>
      <c r="R483" s="4">
        <v>27.4</v>
      </c>
      <c r="S483" s="4">
        <v>54.4</v>
      </c>
      <c r="T483" s="4" cm="1">
        <f t="array" ref="T483">_xlfn.IFS(L483&lt;=5,IF(ISNUMBER(X483)=TRUE,X483*1.79+AA483*1.8+Z483*5.56+50000*(10^-L483)-Q483,1.79+AA483*1.8+Z483*5.56+50000*(10^-L483)-Q483),L483&gt;5,IF(ISNUMBER(X483)=TRUE,X483*1.79+AA483*1.8+50000*(10^-L483)-Q483,AA483*1.8+50000*(10^-L483)-Q483))</f>
        <v>42.62876339959476</v>
      </c>
      <c r="U483" s="6"/>
      <c r="V483" s="6"/>
      <c r="W483" s="3">
        <v>40.805999999999997</v>
      </c>
      <c r="X483" s="3">
        <v>41.454999999999998</v>
      </c>
      <c r="Z483" s="3">
        <v>0.5</v>
      </c>
      <c r="AA483" s="3">
        <v>3.496</v>
      </c>
      <c r="AB483" s="4">
        <v>334.8</v>
      </c>
      <c r="AC483" s="6"/>
      <c r="AD483" s="6"/>
      <c r="AE483" s="8"/>
      <c r="AF483" s="8"/>
      <c r="AG483" s="8"/>
      <c r="AH483" s="6"/>
      <c r="AI483" s="41"/>
      <c r="AJ483" s="6"/>
      <c r="AK483" s="6" t="s">
        <v>363</v>
      </c>
      <c r="AL483" s="4">
        <v>554</v>
      </c>
      <c r="AN483" s="1">
        <f t="shared" ref="AN483" si="335">S483*J483*0.012</f>
        <v>20.517504000000002</v>
      </c>
      <c r="AO483" s="1">
        <f t="shared" ref="AO483" si="336">W483*J483*0.012</f>
        <v>15.390390960000001</v>
      </c>
      <c r="AP483" s="1">
        <f t="shared" ref="AP483" si="337">Z483*J483*0.012</f>
        <v>0.18858000000000003</v>
      </c>
      <c r="AQ483" s="1">
        <f t="shared" ref="AQ483" si="338">AA483*J483*0.012</f>
        <v>1.3185513600000001</v>
      </c>
      <c r="AR483" s="1">
        <f t="shared" ref="AR483" si="339">AB483*J483*0.012</f>
        <v>126.27316800000001</v>
      </c>
      <c r="AS483" s="1">
        <f t="shared" ref="AS483" si="340">0.012*R483*J483</f>
        <v>10.334184</v>
      </c>
      <c r="AU483" s="13"/>
      <c r="AV483" s="13"/>
    </row>
    <row r="484" spans="1:48" x14ac:dyDescent="0.3">
      <c r="A484" s="5">
        <v>45547</v>
      </c>
      <c r="B484" s="12" t="s">
        <v>22</v>
      </c>
      <c r="C484" t="s">
        <v>289</v>
      </c>
      <c r="E484" t="s">
        <v>290</v>
      </c>
      <c r="F484" s="11"/>
      <c r="G484" s="11"/>
      <c r="H484" t="s">
        <v>218</v>
      </c>
      <c r="J484" s="4">
        <v>42.6</v>
      </c>
      <c r="K484" s="4" t="s">
        <v>96</v>
      </c>
      <c r="L484" s="2">
        <v>5.73</v>
      </c>
      <c r="M484" s="2">
        <v>5.8</v>
      </c>
      <c r="N484" s="4">
        <v>736</v>
      </c>
      <c r="O484" s="4"/>
      <c r="P484" s="4">
        <v>11.9</v>
      </c>
      <c r="Q484" s="4">
        <v>38</v>
      </c>
      <c r="R484" s="4">
        <v>37.200000000000003</v>
      </c>
      <c r="S484" s="4">
        <v>70</v>
      </c>
      <c r="T484" s="4" cm="1">
        <f t="array" ref="T484">_xlfn.IFS(L484&lt;=5,IF(ISNUMBER(X484)=TRUE,X484*1.79+AA484*1.8+Z484*5.56+50000*(10^-L484)-Q484,1.79+AA484*1.8+Z484*5.56+50000*(10^-L484)-Q484),L484&gt;5,IF(ISNUMBER(X484)=TRUE,X484*1.79+AA484*1.8+50000*(10^-L484)-Q484,AA484*1.8+50000*(10^-L484)-Q484))</f>
        <v>42.215334356833154</v>
      </c>
      <c r="U484" s="6"/>
      <c r="V484" s="6"/>
      <c r="W484" s="3">
        <v>41.609000000000002</v>
      </c>
      <c r="X484" s="3">
        <v>41.337000000000003</v>
      </c>
      <c r="Z484" s="100">
        <v>0.5</v>
      </c>
      <c r="AA484" s="3">
        <v>3.4049999999999998</v>
      </c>
      <c r="AB484" s="4">
        <v>347.2</v>
      </c>
      <c r="AC484" s="6"/>
      <c r="AD484" s="6"/>
      <c r="AE484" s="8"/>
      <c r="AF484" s="8"/>
      <c r="AG484" s="8"/>
      <c r="AH484" s="6"/>
      <c r="AI484" s="41"/>
      <c r="AJ484" s="6"/>
      <c r="AK484" s="4" t="s">
        <v>363</v>
      </c>
      <c r="AL484" s="4">
        <v>546</v>
      </c>
      <c r="AN484" s="1">
        <f t="shared" ref="AN484" si="341">S484*J484*0.012</f>
        <v>35.783999999999999</v>
      </c>
      <c r="AO484" s="1">
        <f t="shared" ref="AO484" si="342">W484*J484*0.012</f>
        <v>21.270520800000003</v>
      </c>
      <c r="AP484" s="1">
        <f t="shared" ref="AP484" si="343">Z484*J484*0.012</f>
        <v>0.25559999999999999</v>
      </c>
      <c r="AQ484" s="1">
        <f t="shared" ref="AQ484" si="344">AA484*J484*0.012</f>
        <v>1.7406360000000001</v>
      </c>
      <c r="AR484" s="1">
        <f t="shared" ref="AR484" si="345">AB484*J484*0.012</f>
        <v>177.48864</v>
      </c>
      <c r="AS484" s="1">
        <f t="shared" ref="AS484" si="346">0.012*R484*J484</f>
        <v>19.016640000000002</v>
      </c>
      <c r="AU484" s="13"/>
      <c r="AV484" s="13"/>
    </row>
    <row r="485" spans="1:48" x14ac:dyDescent="0.3">
      <c r="A485" s="5">
        <v>45595</v>
      </c>
      <c r="B485" s="12" t="s">
        <v>27</v>
      </c>
      <c r="C485" t="s">
        <v>289</v>
      </c>
      <c r="E485" t="s">
        <v>290</v>
      </c>
      <c r="F485" s="11"/>
      <c r="G485" s="11"/>
      <c r="H485" t="s">
        <v>218</v>
      </c>
      <c r="J485" s="4">
        <v>25.91</v>
      </c>
      <c r="K485" s="4" t="s">
        <v>96</v>
      </c>
      <c r="L485" s="2">
        <v>5.64</v>
      </c>
      <c r="M485" s="2">
        <v>6.1</v>
      </c>
      <c r="N485" s="4">
        <v>679</v>
      </c>
      <c r="O485" s="4"/>
      <c r="P485" s="4">
        <v>12</v>
      </c>
      <c r="R485" s="4">
        <v>37</v>
      </c>
      <c r="S485" s="4">
        <v>67.400000000000006</v>
      </c>
      <c r="T485" s="4" cm="1">
        <f t="array" ref="T485">_xlfn.IFS(L485&lt;=5,IF(ISNUMBER(X485)=TRUE,X485*1.79+AA485*1.8+Z485*5.56+50000*(10^-L485)-R485,1.79+AA485*1.8+Z485*5.56+50000*(10^-L485)-R485),L485&gt;5,IF(ISNUMBER(X485)=TRUE,X485*1.79+AA485*1.8+50000*(10^-L485)-R485,AA485*1.8+50000*(10^-L485)-R485))</f>
        <v>47.330353382638393</v>
      </c>
      <c r="U485" s="6"/>
      <c r="V485" s="6"/>
      <c r="W485" s="3">
        <v>42.625</v>
      </c>
      <c r="X485" s="3">
        <v>43.639000000000003</v>
      </c>
      <c r="Z485" s="100">
        <v>0.5</v>
      </c>
      <c r="AA485" s="3">
        <v>3.39</v>
      </c>
      <c r="AB485" s="4">
        <v>382.4</v>
      </c>
      <c r="AC485" s="6"/>
      <c r="AD485" s="6"/>
      <c r="AE485" s="8"/>
      <c r="AF485" s="8"/>
      <c r="AG485" s="8"/>
      <c r="AH485" s="6"/>
      <c r="AI485" s="41"/>
      <c r="AJ485" s="6"/>
      <c r="AK485" s="6" t="s">
        <v>363</v>
      </c>
      <c r="AL485" s="4">
        <v>580</v>
      </c>
      <c r="AN485" s="1">
        <f t="shared" ref="AN485" si="347">S485*J485*0.012</f>
        <v>20.956008000000001</v>
      </c>
      <c r="AO485" s="1">
        <f t="shared" ref="AO485" si="348">W485*J485*0.012</f>
        <v>13.252965</v>
      </c>
      <c r="AP485" s="1">
        <f t="shared" ref="AP485" si="349">Z485*J485*0.012</f>
        <v>0.15546000000000001</v>
      </c>
      <c r="AQ485" s="1">
        <f t="shared" ref="AQ485" si="350">AA485*J485*0.012</f>
        <v>1.0540188000000001</v>
      </c>
      <c r="AR485" s="1">
        <f t="shared" ref="AR485" si="351">AB485*J485*0.012</f>
        <v>118.89580799999999</v>
      </c>
      <c r="AS485" s="1">
        <f t="shared" ref="AS485" si="352">0.012*R485*J485</f>
        <v>11.50404</v>
      </c>
      <c r="AU485" s="13"/>
      <c r="AV485" s="13"/>
    </row>
    <row r="486" spans="1:48" x14ac:dyDescent="0.3">
      <c r="A486" s="5">
        <v>45617</v>
      </c>
      <c r="C486" t="s">
        <v>289</v>
      </c>
      <c r="E486" t="s">
        <v>290</v>
      </c>
      <c r="F486" s="11"/>
      <c r="G486" s="11"/>
      <c r="H486" t="s">
        <v>218</v>
      </c>
      <c r="J486" s="4">
        <v>23.039000000000001</v>
      </c>
      <c r="K486" s="4" t="s">
        <v>96</v>
      </c>
      <c r="L486" s="2">
        <v>6.1</v>
      </c>
      <c r="M486" s="2">
        <v>5.8</v>
      </c>
      <c r="N486" s="4">
        <v>692</v>
      </c>
      <c r="O486" s="4"/>
      <c r="P486" s="4">
        <v>10.9</v>
      </c>
      <c r="Q486" s="4">
        <v>38</v>
      </c>
      <c r="R486" s="4">
        <v>35.6</v>
      </c>
      <c r="S486" s="4">
        <v>65.2</v>
      </c>
      <c r="T486" s="4" cm="1">
        <f t="array" ref="T486">_xlfn.IFS(L486&lt;=5,IF(ISNUMBER(X486)=TRUE,X486*1.79+AA486*1.8+Z486*5.56+50000*(10^-L486)-R486,1.79+AA486*1.8+Z486*5.56+50000*(10^-L486)-R486),L486&gt;5,IF(ISNUMBER(X486)=TRUE,X486*1.79+AA486*1.8+50000*(10^-L486)-R486,AA486*1.8+50000*(10^-L486)-R486))</f>
        <v>50.302196411736212</v>
      </c>
      <c r="U486" s="6"/>
      <c r="V486" s="6"/>
      <c r="W486" s="3">
        <v>45.220999999999997</v>
      </c>
      <c r="X486" s="3">
        <v>44.392000000000003</v>
      </c>
      <c r="Z486" s="52">
        <v>0.5</v>
      </c>
      <c r="AA486" s="3">
        <v>3.556</v>
      </c>
      <c r="AB486" s="4">
        <v>374.2</v>
      </c>
      <c r="AC486" s="6"/>
      <c r="AD486" s="6"/>
      <c r="AE486" s="8"/>
      <c r="AF486" s="8"/>
      <c r="AG486" s="8"/>
      <c r="AH486" s="6"/>
      <c r="AI486" s="41"/>
      <c r="AJ486" s="6"/>
      <c r="AK486" s="4" t="s">
        <v>363</v>
      </c>
      <c r="AL486" s="4">
        <v>536</v>
      </c>
      <c r="AN486" s="1">
        <f t="shared" ref="AN486" si="353">S486*J486*0.012</f>
        <v>18.0257136</v>
      </c>
      <c r="AO486" s="1">
        <f t="shared" ref="AO486" si="354">W486*J486*0.012</f>
        <v>12.502159427999999</v>
      </c>
      <c r="AP486" s="1">
        <f t="shared" ref="AP486" si="355">Z486*J486*0.012</f>
        <v>0.13823400000000002</v>
      </c>
      <c r="AQ486" s="1">
        <f t="shared" ref="AQ486" si="356">AA486*J486*0.012</f>
        <v>0.98312020800000011</v>
      </c>
      <c r="AR486" s="1">
        <f t="shared" ref="AR486" si="357">AB486*J486*0.012</f>
        <v>103.45432560000002</v>
      </c>
      <c r="AS486" s="1">
        <f t="shared" ref="AS486" si="358">0.012*R486*J486</f>
        <v>9.8422608000000018</v>
      </c>
      <c r="AU486" s="13"/>
      <c r="AV486" s="13"/>
    </row>
    <row r="487" spans="1:48" x14ac:dyDescent="0.3">
      <c r="A487" s="5">
        <v>45644</v>
      </c>
      <c r="B487" s="12" t="s">
        <v>417</v>
      </c>
      <c r="C487" t="s">
        <v>289</v>
      </c>
      <c r="E487" t="s">
        <v>290</v>
      </c>
      <c r="F487" s="11"/>
      <c r="G487" s="11"/>
      <c r="H487" t="s">
        <v>299</v>
      </c>
      <c r="J487" s="4">
        <v>30</v>
      </c>
      <c r="K487" s="4" t="s">
        <v>96</v>
      </c>
      <c r="L487" s="2">
        <v>5.95</v>
      </c>
      <c r="M487" s="2">
        <v>5.6</v>
      </c>
      <c r="N487" s="4">
        <v>683</v>
      </c>
      <c r="O487" s="4"/>
      <c r="P487" s="4"/>
      <c r="R487" s="4">
        <v>18.399999999999999</v>
      </c>
      <c r="S487" s="4">
        <v>60.4</v>
      </c>
      <c r="T487" s="4" cm="1">
        <f t="array" ref="T487">_xlfn.IFS(M487&lt;=5,IF(ISNUMBER(X487)=TRUE,X487*1.79+AA487*1.8+Z487*5.56+50000*(10^-M487)-R487,1.79+AA487*1.8+Z487*5.56+50000*(10^-M487)-R487),M487&gt;5,IF(ISNUMBER(X487)=TRUE,X487*1.79+AA487*1.8+50000*(10^-M487)-R487,AA487*1.8+50000*(10^-M487)-R487))</f>
        <v>64.81910432157548</v>
      </c>
      <c r="U487" s="6"/>
      <c r="V487" s="6"/>
      <c r="W487" s="3">
        <v>42.097000000000001</v>
      </c>
      <c r="X487" s="3">
        <v>43.009</v>
      </c>
      <c r="Z487" s="100">
        <v>0.5</v>
      </c>
      <c r="AA487" s="3">
        <v>3.3929999999999998</v>
      </c>
      <c r="AB487" s="10">
        <v>1004.8</v>
      </c>
      <c r="AC487" s="6"/>
      <c r="AD487" s="6"/>
      <c r="AE487" s="8"/>
      <c r="AF487" s="8"/>
      <c r="AG487" s="8"/>
      <c r="AH487" s="6"/>
      <c r="AI487" s="41"/>
      <c r="AJ487" s="6"/>
      <c r="AK487" s="6" t="s">
        <v>363</v>
      </c>
      <c r="AL487" s="4">
        <v>594</v>
      </c>
      <c r="AN487" s="1">
        <f t="shared" ref="AN487" si="359">S487*J487*0.012</f>
        <v>21.744</v>
      </c>
      <c r="AO487" s="1">
        <f t="shared" ref="AO487" si="360">W487*J487*0.012</f>
        <v>15.154920000000001</v>
      </c>
      <c r="AP487" s="1">
        <f t="shared" ref="AP487" si="361">Z487*J487*0.012</f>
        <v>0.18</v>
      </c>
      <c r="AQ487" s="1">
        <f t="shared" ref="AQ487" si="362">AA487*J487*0.012</f>
        <v>1.2214799999999999</v>
      </c>
      <c r="AR487" s="1">
        <f t="shared" ref="AR487" si="363">AB487*J487*0.012</f>
        <v>361.72800000000001</v>
      </c>
      <c r="AS487" s="1">
        <f t="shared" ref="AS487" si="364">0.012*R487*J487</f>
        <v>6.6239999999999997</v>
      </c>
      <c r="AU487" s="13"/>
      <c r="AV487" s="13"/>
    </row>
    <row r="488" spans="1:48" x14ac:dyDescent="0.3">
      <c r="A488" s="5">
        <v>45687</v>
      </c>
      <c r="B488" s="12" t="s">
        <v>423</v>
      </c>
      <c r="C488" t="s">
        <v>289</v>
      </c>
      <c r="E488" t="s">
        <v>290</v>
      </c>
      <c r="F488" s="11"/>
      <c r="G488" s="11"/>
      <c r="H488" t="s">
        <v>218</v>
      </c>
      <c r="J488" s="4">
        <v>35.6</v>
      </c>
      <c r="K488" s="4" t="s">
        <v>96</v>
      </c>
      <c r="L488" s="2">
        <v>6.14</v>
      </c>
      <c r="M488" s="2">
        <v>5.6</v>
      </c>
      <c r="N488" s="4">
        <v>689</v>
      </c>
      <c r="O488" s="4"/>
      <c r="P488" s="4">
        <v>9.6</v>
      </c>
      <c r="Q488" s="4">
        <v>33</v>
      </c>
      <c r="R488" s="4">
        <v>18.2</v>
      </c>
      <c r="S488" s="4">
        <v>67.2</v>
      </c>
      <c r="T488" s="4" cm="1">
        <f t="array" ref="T488">_xlfn.IFS(M488&lt;=5,IF(ISNUMBER(X488)=TRUE,X488*1.79+AA488*1.8+Z488*5.56+50000*(10^-M488)-R488,1.79+AA488*1.8+Z488*5.56+50000*(10^-M488)-R488),M488&gt;5,IF(ISNUMBER(X488)=TRUE,X488*1.79+AA488*1.8+50000*(10^-M488)-R488,AA488*1.8+50000*(10^-M488)-R488))</f>
        <v>68.377404321575483</v>
      </c>
      <c r="U488" s="6"/>
      <c r="V488" s="6"/>
      <c r="W488" s="3">
        <v>44.408999999999999</v>
      </c>
      <c r="X488" s="3">
        <v>44.679000000000002</v>
      </c>
      <c r="Z488" s="52">
        <v>0.5</v>
      </c>
      <c r="AA488" s="3">
        <v>3.5979999999999999</v>
      </c>
      <c r="AB488" s="18">
        <v>342.6</v>
      </c>
      <c r="AC488" s="6"/>
      <c r="AD488" s="6"/>
      <c r="AE488" s="8"/>
      <c r="AF488" s="8"/>
      <c r="AG488" s="8"/>
      <c r="AH488" s="6"/>
      <c r="AI488" s="41"/>
      <c r="AJ488" s="6"/>
      <c r="AK488" s="6" t="s">
        <v>363</v>
      </c>
      <c r="AL488" s="4">
        <v>560</v>
      </c>
      <c r="AN488" s="1">
        <f t="shared" ref="AN488" si="365">S488*J488*0.012</f>
        <v>28.707840000000001</v>
      </c>
      <c r="AO488" s="1">
        <f t="shared" ref="AO488" si="366">W488*J488*0.012</f>
        <v>18.971524800000001</v>
      </c>
      <c r="AP488" s="1">
        <f t="shared" ref="AP488" si="367">Z488*J488*0.012</f>
        <v>0.21360000000000001</v>
      </c>
      <c r="AQ488" s="1">
        <f t="shared" ref="AQ488" si="368">AA488*J488*0.012</f>
        <v>1.5370656</v>
      </c>
      <c r="AR488" s="1">
        <f t="shared" ref="AR488" si="369">AB488*J488*0.012</f>
        <v>146.35872000000001</v>
      </c>
      <c r="AS488" s="1">
        <f t="shared" ref="AS488" si="370">0.012*R488*J488</f>
        <v>7.7750399999999997</v>
      </c>
      <c r="AU488" s="13"/>
      <c r="AV488" s="13"/>
    </row>
    <row r="489" spans="1:48" x14ac:dyDescent="0.3">
      <c r="F489" s="11"/>
      <c r="G489" s="11"/>
      <c r="AD489" s="8"/>
      <c r="AE489" s="8"/>
    </row>
    <row r="490" spans="1:48" x14ac:dyDescent="0.3">
      <c r="A490" s="5">
        <v>45098</v>
      </c>
      <c r="B490" s="12" t="s">
        <v>85</v>
      </c>
      <c r="C490" t="s">
        <v>291</v>
      </c>
      <c r="E490" t="s">
        <v>295</v>
      </c>
      <c r="H490" t="s">
        <v>93</v>
      </c>
      <c r="J490" s="1">
        <v>10.7</v>
      </c>
      <c r="K490" t="s">
        <v>96</v>
      </c>
      <c r="L490" s="2">
        <v>3.5</v>
      </c>
      <c r="M490" s="2">
        <v>3.5</v>
      </c>
      <c r="N490" s="1">
        <v>429</v>
      </c>
      <c r="O490" s="1">
        <v>438</v>
      </c>
      <c r="P490" s="3">
        <v>10.199999999999999</v>
      </c>
      <c r="Q490" s="4">
        <v>0</v>
      </c>
      <c r="R490" s="6">
        <v>0</v>
      </c>
      <c r="S490" s="40">
        <v>60.4</v>
      </c>
      <c r="T490" s="4" cm="1">
        <f t="array" ref="T490">_xlfn.IFS(L490&lt;=5,IF(ISNUMBER(X490)=TRUE,X490*1.79+AA490*1.8+Z490*5.56+50000*(10^-L490)-R490,1.79+AA490*1.8+Z490*5.56+50000*(10^-L490)-R490),L490&gt;5,IF(ISNUMBER(X490)=TRUE,X490*1.79+AA490*1.8+50000*(10^-L490)-R490,AA490*1.8+50000*(10^-L490)-R490))</f>
        <v>50.520618300841889</v>
      </c>
      <c r="U490" s="6"/>
      <c r="V490" s="6"/>
      <c r="W490" s="8">
        <v>0.38800000000000001</v>
      </c>
      <c r="X490" s="8">
        <v>0.13700000000000001</v>
      </c>
      <c r="Y490" s="8"/>
      <c r="Z490" s="8">
        <v>5.7</v>
      </c>
      <c r="AA490" s="8">
        <v>1.54</v>
      </c>
      <c r="AB490" s="6"/>
      <c r="AC490" s="6">
        <v>32.1</v>
      </c>
      <c r="AD490" s="6">
        <v>12.6</v>
      </c>
      <c r="AE490" s="8">
        <v>2.37</v>
      </c>
      <c r="AF490" s="8">
        <v>2.08</v>
      </c>
      <c r="AG490" s="6">
        <v>5.4</v>
      </c>
      <c r="AH490" s="6">
        <v>6.2E-2</v>
      </c>
      <c r="AI490" s="41">
        <v>0.128</v>
      </c>
      <c r="AJ490" s="6">
        <v>0.2</v>
      </c>
      <c r="AK490" s="6"/>
      <c r="AL490" s="6"/>
      <c r="AN490" s="1">
        <f t="shared" ref="AN490" si="371">S490*J490*0.012</f>
        <v>7.7553599999999996</v>
      </c>
      <c r="AO490" s="1">
        <f t="shared" ref="AO490" si="372">W490*J490*0.012</f>
        <v>4.9819200000000001E-2</v>
      </c>
      <c r="AP490" s="1">
        <f t="shared" ref="AP490" si="373">Z490*J490*0.012</f>
        <v>0.73187999999999998</v>
      </c>
      <c r="AQ490" s="1">
        <f t="shared" ref="AQ490" si="374">AA490*J490*0.012</f>
        <v>0.19773599999999997</v>
      </c>
      <c r="AR490" s="1">
        <f>AB490*J490*0.012</f>
        <v>0</v>
      </c>
      <c r="AS490" s="1">
        <f t="shared" si="260"/>
        <v>0</v>
      </c>
    </row>
    <row r="491" spans="1:48" x14ac:dyDescent="0.3">
      <c r="A491" s="5">
        <v>45169</v>
      </c>
      <c r="B491" s="12" t="s">
        <v>52</v>
      </c>
      <c r="C491" t="s">
        <v>291</v>
      </c>
      <c r="E491" t="s">
        <v>295</v>
      </c>
      <c r="H491" t="s">
        <v>256</v>
      </c>
      <c r="J491" s="1">
        <v>12.7</v>
      </c>
      <c r="K491" t="s">
        <v>96</v>
      </c>
      <c r="L491" s="2">
        <v>3.3</v>
      </c>
      <c r="M491" s="2">
        <v>3.5</v>
      </c>
      <c r="N491" s="1">
        <v>480.7</v>
      </c>
      <c r="O491" s="1">
        <v>418</v>
      </c>
      <c r="Q491" s="4">
        <v>0</v>
      </c>
      <c r="R491" s="6">
        <v>0</v>
      </c>
      <c r="S491" s="40">
        <v>72.2</v>
      </c>
      <c r="T491" s="4" cm="1">
        <f t="array" ref="T491">_xlfn.IFS(L491&lt;=5,IF(ISNUMBER(X491)=TRUE,X491*1.79+AA491*1.8+Z491*5.56+50000*(10^-L491)-R491,1.79+AA491*1.8+Z491*5.56+50000*(10^-L491)-R491),L491&gt;5,IF(ISNUMBER(X491)=TRUE,X491*1.79+AA491*1.8+50000*(10^-L491)-R491,AA491*1.8+50000*(10^-L491)-R491))</f>
        <v>56.423371681363605</v>
      </c>
      <c r="U491" s="6"/>
      <c r="V491" s="6"/>
      <c r="W491" s="8">
        <v>2.17</v>
      </c>
      <c r="X491" s="8">
        <v>9.9000000000000005E-2</v>
      </c>
      <c r="Y491" s="8"/>
      <c r="Z491" s="8">
        <v>5.13</v>
      </c>
      <c r="AA491" s="8">
        <v>1.48</v>
      </c>
      <c r="AB491" s="6">
        <v>161</v>
      </c>
      <c r="AC491" s="6">
        <v>32.799999999999997</v>
      </c>
      <c r="AD491" s="6">
        <v>12.5</v>
      </c>
      <c r="AE491" s="8">
        <v>1.86</v>
      </c>
      <c r="AF491" s="8">
        <v>2.11</v>
      </c>
      <c r="AG491" s="6">
        <v>5.8</v>
      </c>
      <c r="AH491" s="6">
        <v>6.6000000000000003E-2</v>
      </c>
      <c r="AI491" s="41">
        <v>0.14000000000000001</v>
      </c>
      <c r="AJ491" s="6">
        <v>0.2</v>
      </c>
      <c r="AK491" s="6"/>
      <c r="AL491" s="6"/>
      <c r="AN491" s="1">
        <f t="shared" ref="AN491" si="375">S491*J491*0.012</f>
        <v>11.00328</v>
      </c>
      <c r="AO491" s="1">
        <f t="shared" ref="AO491" si="376">W491*J491*0.012</f>
        <v>0.330708</v>
      </c>
      <c r="AP491" s="1">
        <f t="shared" ref="AP491" si="377">Z491*J491*0.012</f>
        <v>0.78181199999999995</v>
      </c>
      <c r="AQ491" s="1">
        <f t="shared" ref="AQ491" si="378">AA491*J491*0.012</f>
        <v>0.225552</v>
      </c>
      <c r="AR491" s="1">
        <f>AB491*J491*0.012</f>
        <v>24.536399999999997</v>
      </c>
      <c r="AS491" s="1">
        <f t="shared" si="260"/>
        <v>0</v>
      </c>
    </row>
    <row r="492" spans="1:48" x14ac:dyDescent="0.3">
      <c r="A492" s="5">
        <f>'Penn Run'!A152</f>
        <v>45352</v>
      </c>
      <c r="B492" s="5"/>
      <c r="C492" s="5" t="str">
        <f>'Penn Run'!C152</f>
        <v>PD4</v>
      </c>
      <c r="D492" s="5"/>
      <c r="E492" s="5" t="str">
        <f>'Penn Run'!E152</f>
        <v>Penn Run AMD -4 South side</v>
      </c>
      <c r="F492" s="5"/>
      <c r="G492" s="5"/>
      <c r="H492" t="s">
        <v>218</v>
      </c>
      <c r="I492" s="5"/>
      <c r="J492" s="4">
        <f>'Penn Run'!J152</f>
        <v>21.279</v>
      </c>
      <c r="K492" t="s">
        <v>96</v>
      </c>
      <c r="L492" s="2">
        <f>IF(ISNUMBER('Penn Run'!L152),'Penn Run'!L152,"")</f>
        <v>3.41</v>
      </c>
      <c r="M492" s="2">
        <f>IF(ISNUMBER('Penn Run'!M152),'Penn Run'!M152,"")</f>
        <v>3.6</v>
      </c>
      <c r="N492" s="4">
        <f>IF(ISNUMBER('Penn Run'!N152),'Penn Run'!N152,"")</f>
        <v>457</v>
      </c>
      <c r="O492" s="2" t="str">
        <f>IF(ISNUMBER('Penn Run'!O152),'Penn Run'!O152,"")</f>
        <v/>
      </c>
      <c r="P492" s="3">
        <f>IF(ISNUMBER('Penn Run'!P152),'Penn Run'!P152,"")</f>
        <v>8.6999999999999993</v>
      </c>
      <c r="Q492" s="4">
        <v>0</v>
      </c>
      <c r="R492" s="4">
        <f>IF(ISNUMBER('Penn Run'!R152),'Penn Run'!R152,"")</f>
        <v>0</v>
      </c>
      <c r="S492" s="4">
        <f>IF(ISNUMBER('Penn Run'!S152),'Penn Run'!S152,"")</f>
        <v>59.8</v>
      </c>
      <c r="T492" s="4">
        <f>IF(ISNUMBER('Penn Run'!T152),'Penn Run'!T152,"")</f>
        <v>57.910947249714013</v>
      </c>
      <c r="U492" s="2" t="str">
        <f>IF(ISNUMBER('Penn Run'!U152),'Penn Run'!U152,"")</f>
        <v/>
      </c>
      <c r="V492" s="2" t="str">
        <f>IF(ISNUMBER('Penn Run'!V152),'Penn Run'!V152,"")</f>
        <v/>
      </c>
      <c r="W492" s="3">
        <f>IF(ISNUMBER('Penn Run'!W152),'Penn Run'!W152,"")</f>
        <v>0.68200000000000005</v>
      </c>
      <c r="X492" s="3">
        <f>IF(ISNUMBER('Penn Run'!X152),'Penn Run'!X152,"")</f>
        <v>0.151</v>
      </c>
      <c r="Z492" s="3">
        <f>IF(ISNUMBER('Penn Run'!Z152),'Penn Run'!Z152,"")</f>
        <v>6.32</v>
      </c>
      <c r="AA492" s="3">
        <f>IF(ISNUMBER('Penn Run'!AA152),'Penn Run'!AA152,"")</f>
        <v>1.694</v>
      </c>
      <c r="AB492" s="4">
        <f>IF(ISNUMBER('Penn Run'!AB152),'Penn Run'!AB152,"")</f>
        <v>174.4</v>
      </c>
      <c r="AC492" s="2" t="str">
        <f>IF(ISNUMBER('Penn Run'!AC152),'Penn Run'!AC152,"")</f>
        <v/>
      </c>
      <c r="AD492" s="2" t="str">
        <f>IF(ISNUMBER('Penn Run'!AD152),'Penn Run'!AD152,"")</f>
        <v/>
      </c>
      <c r="AE492" s="2" t="str">
        <f>IF(ISNUMBER('Penn Run'!AE152),'Penn Run'!AE152,"")</f>
        <v/>
      </c>
      <c r="AF492" s="2" t="str">
        <f>IF(ISNUMBER('Penn Run'!AF152),'Penn Run'!AF152,"")</f>
        <v/>
      </c>
      <c r="AG492" s="2" t="str">
        <f>IF(ISNUMBER('Penn Run'!AG152),'Penn Run'!AG152,"")</f>
        <v/>
      </c>
      <c r="AH492" s="2" t="str">
        <f>IF(ISNUMBER('Penn Run'!AH152),'Penn Run'!AH152,"")</f>
        <v/>
      </c>
      <c r="AI492" s="2" t="str">
        <f>IF(ISNUMBER('Penn Run'!AI152),'Penn Run'!AI152,"")</f>
        <v/>
      </c>
      <c r="AJ492" s="2" t="str">
        <f>IF(ISNUMBER('Penn Run'!AJ152),'Penn Run'!AJ152,"")</f>
        <v/>
      </c>
      <c r="AK492" s="2" t="str">
        <f>IF(ISNUMBER('Penn Run'!AK152),'Penn Run'!AK152,"")</f>
        <v/>
      </c>
      <c r="AL492" s="4">
        <f>IF(ISNUMBER('Penn Run'!AL152),'Penn Run'!AL152,"")</f>
        <v>276</v>
      </c>
      <c r="AM492" s="2" t="str">
        <f>IF(ISNUMBER('Penn Run'!AM152),'Penn Run'!AM152,"")</f>
        <v/>
      </c>
      <c r="AN492" s="4">
        <f>IF(ISNUMBER('Penn Run'!AN152),'Penn Run'!AN152,"")</f>
        <v>15.269810399999999</v>
      </c>
      <c r="AO492" s="4">
        <f>IF(ISNUMBER('Penn Run'!AO152),'Penn Run'!AO152,"")</f>
        <v>0.17414733600000001</v>
      </c>
      <c r="AP492" s="4">
        <f>IF(ISNUMBER('Penn Run'!AP152),'Penn Run'!AP152,"")</f>
        <v>1.61379936</v>
      </c>
      <c r="AQ492" s="4">
        <f>IF(ISNUMBER('Penn Run'!AQ152),'Penn Run'!AQ152,"")</f>
        <v>0.43255951199999998</v>
      </c>
      <c r="AR492" s="4">
        <f>IF(ISNUMBER('Penn Run'!AR152),'Penn Run'!AR152,"")</f>
        <v>44.532691200000002</v>
      </c>
      <c r="AS492" s="1">
        <f t="shared" si="260"/>
        <v>0</v>
      </c>
    </row>
    <row r="493" spans="1:48" x14ac:dyDescent="0.3">
      <c r="A493" s="5">
        <v>45366</v>
      </c>
      <c r="B493">
        <v>3</v>
      </c>
      <c r="C493" t="s">
        <v>291</v>
      </c>
      <c r="E493" t="s">
        <v>295</v>
      </c>
      <c r="F493" s="5"/>
      <c r="G493" s="5"/>
      <c r="H493" t="s">
        <v>218</v>
      </c>
      <c r="I493" s="5"/>
      <c r="J493" s="4">
        <v>29</v>
      </c>
      <c r="K493" t="s">
        <v>96</v>
      </c>
      <c r="L493" s="2">
        <v>3.38</v>
      </c>
      <c r="M493" s="2">
        <v>3.6</v>
      </c>
      <c r="N493" s="4">
        <v>481</v>
      </c>
      <c r="O493" s="2"/>
      <c r="Q493" s="4">
        <v>0</v>
      </c>
      <c r="R493" s="4">
        <v>0</v>
      </c>
      <c r="S493" s="4">
        <v>64.8</v>
      </c>
      <c r="T493" s="4" cm="1">
        <f t="array" ref="T493">_xlfn.IFS(L493&lt;=5,IF(ISNUMBER(X493)=TRUE,X493*1.79+AA493*1.8+Z493*5.56+50000*(10^-L493)-R493,1.79+AA493*1.8+Z493*5.56+50000*(10^-L493)-R493),L493&gt;5,IF(ISNUMBER(X493)=TRUE,X493*1.79+AA493*1.8+50000*(10^-L493)-R493,AA493*1.8+50000*(10^-L493)-R493))</f>
        <v>63.389279173516755</v>
      </c>
      <c r="W493" s="52">
        <v>0.3</v>
      </c>
      <c r="X493" s="3">
        <v>0.123</v>
      </c>
      <c r="Z493" s="3">
        <v>7.0339999999999998</v>
      </c>
      <c r="AA493" s="3">
        <v>1.7869999999999999</v>
      </c>
      <c r="AB493" s="4">
        <v>161.6</v>
      </c>
      <c r="AC493" s="2"/>
      <c r="AD493" s="2"/>
      <c r="AE493" s="2"/>
      <c r="AF493" s="2"/>
      <c r="AG493" s="2"/>
      <c r="AJ493" s="2"/>
      <c r="AK493" s="2" t="s">
        <v>363</v>
      </c>
      <c r="AL493" s="4">
        <v>270</v>
      </c>
      <c r="AM493" s="2"/>
      <c r="AN493" s="1">
        <f t="shared" ref="AN493" si="379">S493*J493*0.012</f>
        <v>22.5504</v>
      </c>
      <c r="AO493" s="1">
        <f t="shared" ref="AO493" si="380">W493*J493*0.012</f>
        <v>0.10439999999999999</v>
      </c>
      <c r="AP493" s="1">
        <f t="shared" ref="AP493" si="381">Z493*J493*0.012</f>
        <v>2.447832</v>
      </c>
      <c r="AQ493" s="1">
        <f t="shared" ref="AQ493" si="382">AA493*J493*0.012</f>
        <v>0.62187599999999998</v>
      </c>
      <c r="AR493" s="1">
        <f t="shared" ref="AR493:AR499" si="383">AB493*J493*0.012</f>
        <v>56.236799999999995</v>
      </c>
      <c r="AS493" s="1">
        <f t="shared" si="260"/>
        <v>0</v>
      </c>
    </row>
    <row r="494" spans="1:48" x14ac:dyDescent="0.3">
      <c r="A494" s="5">
        <v>45392</v>
      </c>
      <c r="B494">
        <v>4</v>
      </c>
      <c r="C494" t="s">
        <v>291</v>
      </c>
      <c r="E494" t="s">
        <v>295</v>
      </c>
      <c r="F494" s="5"/>
      <c r="G494" s="5"/>
      <c r="H494" t="s">
        <v>218</v>
      </c>
      <c r="I494" s="5"/>
      <c r="J494" s="4">
        <v>28.5</v>
      </c>
      <c r="K494" t="s">
        <v>96</v>
      </c>
      <c r="L494" s="2">
        <v>3.44</v>
      </c>
      <c r="M494" s="2">
        <v>3.5</v>
      </c>
      <c r="N494" s="4">
        <v>466</v>
      </c>
      <c r="O494" s="2"/>
      <c r="P494" s="3">
        <v>9.1999999999999993</v>
      </c>
      <c r="Q494" s="4">
        <v>0</v>
      </c>
      <c r="R494" s="4">
        <v>0</v>
      </c>
      <c r="S494" s="4">
        <v>76.8</v>
      </c>
      <c r="T494" s="4" cm="1">
        <f t="array" ref="T494">_xlfn.IFS(L494&lt;=5,IF(ISNUMBER(X494)=TRUE,X494*1.79+AA494*1.8+Z494*5.56+50000*(10^-L494)-R494,1.79+AA494*1.8+Z494*5.56+50000*(10^-L494)-R494),L494&gt;5,IF(ISNUMBER(X494)=TRUE,X494*1.79+AA494*1.8+50000*(10^-L494)-R494,AA494*1.8+50000*(10^-L494)-R494))</f>
        <v>70.291362738505043</v>
      </c>
      <c r="W494" s="3">
        <v>0.44900000000000001</v>
      </c>
      <c r="X494" s="3">
        <v>0.158</v>
      </c>
      <c r="Z494" s="3">
        <v>8.6639999999999997</v>
      </c>
      <c r="AA494" s="3">
        <v>2.0459999999999998</v>
      </c>
      <c r="AB494" s="4">
        <v>179.7</v>
      </c>
      <c r="AC494" s="2"/>
      <c r="AD494" s="2"/>
      <c r="AE494" s="2"/>
      <c r="AF494" s="2"/>
      <c r="AG494" s="2"/>
      <c r="AJ494" s="2"/>
      <c r="AK494" s="2" t="s">
        <v>363</v>
      </c>
      <c r="AL494" s="4">
        <v>268</v>
      </c>
      <c r="AM494" s="2"/>
      <c r="AN494" s="1">
        <f t="shared" ref="AN494" si="384">S494*J494*0.012</f>
        <v>26.265599999999996</v>
      </c>
      <c r="AO494" s="1">
        <f t="shared" ref="AO494" si="385">W494*J494*0.012</f>
        <v>0.153558</v>
      </c>
      <c r="AP494" s="1">
        <f t="shared" ref="AP494" si="386">Z494*J494*0.012</f>
        <v>2.9630879999999999</v>
      </c>
      <c r="AQ494" s="1">
        <f t="shared" ref="AQ494" si="387">AA494*J494*0.012</f>
        <v>0.69973199999999991</v>
      </c>
      <c r="AR494" s="1">
        <f t="shared" si="383"/>
        <v>61.4574</v>
      </c>
      <c r="AS494" s="1">
        <f t="shared" si="260"/>
        <v>0</v>
      </c>
    </row>
    <row r="495" spans="1:48" x14ac:dyDescent="0.3">
      <c r="A495" s="5">
        <v>45442</v>
      </c>
      <c r="B495">
        <v>4</v>
      </c>
      <c r="C495" t="s">
        <v>291</v>
      </c>
      <c r="E495" t="s">
        <v>295</v>
      </c>
      <c r="F495" s="5"/>
      <c r="G495" s="5"/>
      <c r="H495" t="s">
        <v>218</v>
      </c>
      <c r="I495" s="5"/>
      <c r="J495" s="4">
        <v>16.2</v>
      </c>
      <c r="K495" t="s">
        <v>96</v>
      </c>
      <c r="L495" s="2">
        <v>3.45</v>
      </c>
      <c r="M495" s="2">
        <v>3.6</v>
      </c>
      <c r="N495" s="4">
        <v>458</v>
      </c>
      <c r="O495" s="2"/>
      <c r="P495" s="3">
        <v>10.5</v>
      </c>
      <c r="Q495" s="4">
        <v>0</v>
      </c>
      <c r="R495" s="4">
        <v>0</v>
      </c>
      <c r="S495" s="4">
        <v>60.2</v>
      </c>
      <c r="T495" s="4" cm="1">
        <f t="array" ref="T495">_xlfn.IFS(L495&lt;=5,IF(ISNUMBER(X495)=TRUE,X495*1.79+AA495*1.8+Z495*5.56+50000*(10^-L495)-R495,1.79+AA495*1.8+Z495*5.56+50000*(10^-L495)-R495),L495&gt;5,IF(ISNUMBER(X495)=TRUE,X495*1.79+AA495*1.8+50000*(10^-L495)-R495,AA495*1.8+50000*(10^-L495)-R495))</f>
        <v>52.821229461678755</v>
      </c>
      <c r="W495" s="3">
        <v>1.8540000000000001</v>
      </c>
      <c r="X495" s="3">
        <v>0.14799999999999999</v>
      </c>
      <c r="Z495" s="3">
        <v>5.7939999999999996</v>
      </c>
      <c r="AA495" s="3">
        <v>1.4450000000000001</v>
      </c>
      <c r="AB495" s="4">
        <v>149.4</v>
      </c>
      <c r="AC495" s="2"/>
      <c r="AD495" s="2"/>
      <c r="AE495" s="2"/>
      <c r="AF495" s="2"/>
      <c r="AG495" s="2"/>
      <c r="AJ495" s="2"/>
      <c r="AK495" s="2" t="s">
        <v>363</v>
      </c>
      <c r="AL495" s="4">
        <v>256</v>
      </c>
      <c r="AM495" s="2"/>
      <c r="AN495" s="1">
        <f t="shared" ref="AN495:AN496" si="388">S495*J495*0.012</f>
        <v>11.70288</v>
      </c>
      <c r="AO495" s="1">
        <f t="shared" ref="AO495:AO496" si="389">W495*J495*0.012</f>
        <v>0.3604176</v>
      </c>
      <c r="AP495" s="1">
        <f t="shared" ref="AP495:AP496" si="390">Z495*J495*0.012</f>
        <v>1.1263535999999998</v>
      </c>
      <c r="AQ495" s="1">
        <f t="shared" ref="AQ495:AQ496" si="391">AA495*J495*0.012</f>
        <v>0.28090799999999999</v>
      </c>
      <c r="AR495" s="1">
        <f t="shared" si="383"/>
        <v>29.043360000000003</v>
      </c>
      <c r="AS495" s="1">
        <f t="shared" ref="AS495:AS496" si="392">0.012*R495*J495</f>
        <v>0</v>
      </c>
    </row>
    <row r="496" spans="1:48" x14ac:dyDescent="0.3">
      <c r="A496" s="5">
        <v>45461</v>
      </c>
      <c r="B496">
        <v>4</v>
      </c>
      <c r="C496" t="s">
        <v>291</v>
      </c>
      <c r="E496" t="s">
        <v>295</v>
      </c>
      <c r="F496" s="5"/>
      <c r="G496" s="5"/>
      <c r="H496" t="s">
        <v>218</v>
      </c>
      <c r="I496" s="5"/>
      <c r="J496" s="4">
        <v>12.61</v>
      </c>
      <c r="K496" s="4" t="s">
        <v>96</v>
      </c>
      <c r="L496" s="2">
        <v>3.21</v>
      </c>
      <c r="M496" s="2">
        <v>3.6</v>
      </c>
      <c r="N496" s="4">
        <v>544</v>
      </c>
      <c r="O496" s="4"/>
      <c r="P496" s="4">
        <v>10.8</v>
      </c>
      <c r="Q496" s="4">
        <v>0</v>
      </c>
      <c r="R496" s="4">
        <v>0</v>
      </c>
      <c r="S496" s="4">
        <v>58</v>
      </c>
      <c r="T496" s="4" cm="1">
        <f t="array" ref="T496">_xlfn.IFS(L496&lt;=5,IF(ISNUMBER(X496)=TRUE,X496*1.79+AA496*1.8+Z496*5.56+50000*(10^-L496)-R496,1.79+AA496*1.8+Z496*5.56+50000*(10^-L496)-R496),L496&gt;5,IF(ISNUMBER(X496)=TRUE,X496*1.79+AA496*1.8+50000*(10^-L496)-R496,AA496*1.8+50000*(10^-L496)-R496))</f>
        <v>63.601360093074092</v>
      </c>
      <c r="W496" s="52">
        <v>0.3</v>
      </c>
      <c r="X496" s="3">
        <v>0.307</v>
      </c>
      <c r="Z496" s="3">
        <v>5.3680000000000003</v>
      </c>
      <c r="AA496" s="3">
        <v>1.32</v>
      </c>
      <c r="AB496" s="4">
        <v>156.1</v>
      </c>
      <c r="AC496" s="2"/>
      <c r="AD496" s="2"/>
      <c r="AE496" s="2"/>
      <c r="AF496" s="2"/>
      <c r="AG496" s="2"/>
      <c r="AJ496" s="2"/>
      <c r="AK496" s="2" t="s">
        <v>363</v>
      </c>
      <c r="AL496" s="4">
        <v>254</v>
      </c>
      <c r="AM496" s="2"/>
      <c r="AN496" s="1">
        <f t="shared" si="388"/>
        <v>8.7765599999999999</v>
      </c>
      <c r="AO496" s="1">
        <f t="shared" si="389"/>
        <v>4.5395999999999992E-2</v>
      </c>
      <c r="AP496" s="1">
        <f t="shared" si="390"/>
        <v>0.81228576000000008</v>
      </c>
      <c r="AQ496" s="1">
        <f t="shared" si="391"/>
        <v>0.19974239999999999</v>
      </c>
      <c r="AR496" s="1">
        <f t="shared" si="383"/>
        <v>23.621051999999999</v>
      </c>
      <c r="AS496" s="1">
        <f t="shared" si="392"/>
        <v>0</v>
      </c>
    </row>
    <row r="497" spans="1:46" x14ac:dyDescent="0.3">
      <c r="A497" s="5">
        <v>45483</v>
      </c>
      <c r="B497">
        <v>4</v>
      </c>
      <c r="C497" t="s">
        <v>291</v>
      </c>
      <c r="E497" t="s">
        <v>295</v>
      </c>
      <c r="F497" s="5"/>
      <c r="G497" s="5"/>
      <c r="H497" t="s">
        <v>218</v>
      </c>
      <c r="I497" s="5"/>
      <c r="J497" s="4">
        <v>14.98</v>
      </c>
      <c r="K497" s="4" t="s">
        <v>96</v>
      </c>
      <c r="L497" s="2">
        <v>3.39</v>
      </c>
      <c r="M497" s="2">
        <v>3.6</v>
      </c>
      <c r="N497" s="4">
        <v>469</v>
      </c>
      <c r="O497" s="4"/>
      <c r="P497" s="4">
        <v>12.1</v>
      </c>
      <c r="Q497" s="4">
        <v>0</v>
      </c>
      <c r="R497" s="6">
        <v>0</v>
      </c>
      <c r="S497" s="40">
        <v>61.8</v>
      </c>
      <c r="T497" s="4" cm="1">
        <f t="array" ref="T497">_xlfn.IFS(L497&lt;=5,IF(ISNUMBER(X497)=TRUE,X497*1.79+AA497*1.8+Z497*5.56+50000*(10^-L497)-R497,1.79+AA497*1.8+Z497*5.56+50000*(10^-L497)-R497),L497&gt;5,IF(ISNUMBER(X497)=TRUE,X497*1.79+AA497*1.8+50000*(10^-L497)-R497,AA497*1.8+50000*(10^-L497)-R497))</f>
        <v>53.260043890205608</v>
      </c>
      <c r="W497" s="8">
        <v>0.56200000000000006</v>
      </c>
      <c r="X497" s="8">
        <v>0.13700000000000001</v>
      </c>
      <c r="Y497" s="8"/>
      <c r="Z497" s="8">
        <v>5.44</v>
      </c>
      <c r="AA497" s="8">
        <v>1.333</v>
      </c>
      <c r="AB497" s="40">
        <v>166.5</v>
      </c>
      <c r="AC497" s="2"/>
      <c r="AD497" s="2"/>
      <c r="AE497" s="2"/>
      <c r="AF497" s="2"/>
      <c r="AG497" s="2"/>
      <c r="AJ497" s="2"/>
      <c r="AK497" s="2" t="s">
        <v>363</v>
      </c>
      <c r="AL497" s="6">
        <v>278</v>
      </c>
      <c r="AM497" s="2"/>
      <c r="AN497" s="1">
        <f t="shared" ref="AN497" si="393">S497*J497*0.012</f>
        <v>11.109168</v>
      </c>
      <c r="AO497" s="1">
        <f t="shared" ref="AO497" si="394">W497*J497*0.012</f>
        <v>0.10102512000000001</v>
      </c>
      <c r="AP497" s="1">
        <f t="shared" ref="AP497" si="395">Z497*J497*0.012</f>
        <v>0.97789440000000005</v>
      </c>
      <c r="AQ497" s="1">
        <f t="shared" ref="AQ497" si="396">AA497*J497*0.012</f>
        <v>0.23962008000000001</v>
      </c>
      <c r="AR497" s="1">
        <f t="shared" si="383"/>
        <v>29.930040000000002</v>
      </c>
      <c r="AS497" s="1">
        <f t="shared" ref="AS497" si="397">0.012*R497*J497</f>
        <v>0</v>
      </c>
    </row>
    <row r="498" spans="1:46" x14ac:dyDescent="0.3">
      <c r="A498" s="5">
        <v>45527</v>
      </c>
      <c r="B498">
        <v>6</v>
      </c>
      <c r="C498" t="s">
        <v>291</v>
      </c>
      <c r="E498" t="s">
        <v>295</v>
      </c>
      <c r="F498" s="5"/>
      <c r="G498" s="5"/>
      <c r="H498" t="s">
        <v>218</v>
      </c>
      <c r="I498" s="5"/>
      <c r="J498" s="1">
        <v>14</v>
      </c>
      <c r="K498" s="4" t="s">
        <v>96</v>
      </c>
      <c r="L498" s="2">
        <v>3.6</v>
      </c>
      <c r="M498" s="2">
        <v>3.6</v>
      </c>
      <c r="N498" s="1">
        <v>439</v>
      </c>
      <c r="O498" s="4"/>
      <c r="P498" s="4"/>
      <c r="Q498" s="4">
        <v>0</v>
      </c>
      <c r="R498" s="4">
        <v>0</v>
      </c>
      <c r="S498" s="4">
        <v>63.2</v>
      </c>
      <c r="T498" s="4" cm="1">
        <f t="array" ref="T498">_xlfn.IFS(L498&lt;=5,IF(ISNUMBER(X498)=TRUE,X498*1.79+AA498*1.8+Z498*5.56+50000*(10^-L498)-R498,1.79+AA498*1.8+Z498*5.56+50000*(10^-L498)-R498),L498&gt;5,IF(ISNUMBER(X498)=TRUE,X498*1.79+AA498*1.8+50000*(10^-L498)-R498,AA498*1.8+50000*(10^-L498)-R498))</f>
        <v>48.063812157547886</v>
      </c>
      <c r="W498" s="3">
        <v>2.6440000000000001</v>
      </c>
      <c r="X498" s="3">
        <v>0.26200000000000001</v>
      </c>
      <c r="Z498" s="3">
        <v>5.7949999999999999</v>
      </c>
      <c r="AA498" s="3">
        <v>1.5640000000000001</v>
      </c>
      <c r="AB498" s="4">
        <v>162.80000000000001</v>
      </c>
      <c r="AC498" s="2"/>
      <c r="AD498" s="2"/>
      <c r="AE498" s="2"/>
      <c r="AF498" s="2"/>
      <c r="AG498" s="2"/>
      <c r="AJ498" s="2"/>
      <c r="AK498" s="2" t="s">
        <v>363</v>
      </c>
      <c r="AL498" s="4">
        <v>282</v>
      </c>
      <c r="AM498" s="2"/>
      <c r="AN498" s="1">
        <f t="shared" ref="AN498:AN499" si="398">S498*J498*0.012</f>
        <v>10.617600000000001</v>
      </c>
      <c r="AO498" s="1">
        <f t="shared" ref="AO498:AO499" si="399">W498*J498*0.012</f>
        <v>0.44419200000000009</v>
      </c>
      <c r="AP498" s="1">
        <f t="shared" ref="AP498:AP499" si="400">Z498*J498*0.012</f>
        <v>0.97355999999999998</v>
      </c>
      <c r="AQ498" s="1">
        <f t="shared" ref="AQ498:AQ499" si="401">AA498*J498*0.012</f>
        <v>0.26275200000000004</v>
      </c>
      <c r="AR498" s="1">
        <f t="shared" si="383"/>
        <v>27.350400000000004</v>
      </c>
      <c r="AS498" s="1">
        <f t="shared" ref="AS498:AS499" si="402">0.012*R498*J498</f>
        <v>0</v>
      </c>
    </row>
    <row r="499" spans="1:46" x14ac:dyDescent="0.3">
      <c r="A499" s="5">
        <v>45547</v>
      </c>
      <c r="B499">
        <v>4</v>
      </c>
      <c r="C499" t="s">
        <v>291</v>
      </c>
      <c r="E499" t="s">
        <v>295</v>
      </c>
      <c r="F499" s="5"/>
      <c r="G499" s="5"/>
      <c r="H499" t="s">
        <v>218</v>
      </c>
      <c r="I499" s="5"/>
      <c r="J499" s="4">
        <v>20.329999999999998</v>
      </c>
      <c r="K499" s="4" t="s">
        <v>96</v>
      </c>
      <c r="L499" s="2">
        <v>3.34</v>
      </c>
      <c r="M499" s="2">
        <v>3.6</v>
      </c>
      <c r="N499" s="4">
        <v>461</v>
      </c>
      <c r="O499" s="4"/>
      <c r="P499" s="4"/>
      <c r="Q499" s="4">
        <v>0</v>
      </c>
      <c r="R499" s="6">
        <v>0</v>
      </c>
      <c r="S499" s="40">
        <v>59.4</v>
      </c>
      <c r="T499" s="4" cm="1">
        <f t="array" ref="T499">_xlfn.IFS(L499&lt;=5,IF(ISNUMBER(X499)=TRUE,X499*1.79+AA499*1.8+Z499*5.56+50000*(10^-L499)-R499,1.79+AA499*1.8+Z499*5.56+50000*(10^-L499)-R499),L499&gt;5,IF(ISNUMBER(X499)=TRUE,X499*1.79+AA499*1.8+50000*(10^-L499)-R499,AA499*1.8+50000*(10^-L499)-R499))</f>
        <v>54.316099480743745</v>
      </c>
      <c r="W499" s="8">
        <v>2.2930000000000001</v>
      </c>
      <c r="X499" s="8">
        <v>0.10299999999999999</v>
      </c>
      <c r="Y499" s="8"/>
      <c r="Z499" s="8">
        <v>5.1669999999999998</v>
      </c>
      <c r="AA499" s="8">
        <v>1.4159999999999999</v>
      </c>
      <c r="AB499" s="40">
        <v>145.6</v>
      </c>
      <c r="AC499" s="2"/>
      <c r="AD499" s="2"/>
      <c r="AE499" s="2"/>
      <c r="AF499" s="2"/>
      <c r="AG499" s="2"/>
      <c r="AJ499" s="2"/>
      <c r="AK499" s="2" t="s">
        <v>363</v>
      </c>
      <c r="AL499" s="6">
        <v>250</v>
      </c>
      <c r="AM499" s="2"/>
      <c r="AN499" s="1">
        <f t="shared" si="398"/>
        <v>14.491223999999999</v>
      </c>
      <c r="AO499" s="1">
        <f t="shared" si="399"/>
        <v>0.55940027999999997</v>
      </c>
      <c r="AP499" s="1">
        <f t="shared" si="400"/>
        <v>1.26054132</v>
      </c>
      <c r="AQ499" s="1">
        <f t="shared" si="401"/>
        <v>0.34544735999999998</v>
      </c>
      <c r="AR499" s="1">
        <f t="shared" si="383"/>
        <v>35.520575999999998</v>
      </c>
      <c r="AS499" s="1">
        <f t="shared" si="402"/>
        <v>0</v>
      </c>
    </row>
    <row r="500" spans="1:46" x14ac:dyDescent="0.3">
      <c r="A500" s="5">
        <v>45595</v>
      </c>
      <c r="B500">
        <v>6</v>
      </c>
      <c r="C500" t="s">
        <v>291</v>
      </c>
      <c r="E500" t="s">
        <v>295</v>
      </c>
      <c r="F500" s="5"/>
      <c r="G500" s="5"/>
      <c r="H500" t="s">
        <v>218</v>
      </c>
      <c r="I500" s="5"/>
      <c r="J500" s="4">
        <v>9.2469999999999999</v>
      </c>
      <c r="K500" s="4" t="s">
        <v>96</v>
      </c>
      <c r="L500" s="2">
        <v>3.44</v>
      </c>
      <c r="M500" s="2">
        <v>3.6</v>
      </c>
      <c r="N500" s="4">
        <v>434</v>
      </c>
      <c r="O500" s="4"/>
      <c r="P500" s="4">
        <v>12.3</v>
      </c>
      <c r="Q500" s="4">
        <v>0</v>
      </c>
      <c r="R500" s="6">
        <v>0</v>
      </c>
      <c r="S500" s="40">
        <v>56.6</v>
      </c>
      <c r="T500" s="4" cm="1">
        <f t="array" ref="T500">_xlfn.IFS(L500&lt;=5,IF(ISNUMBER(X500)=TRUE,X500*1.79+AA500*1.8+Z500*5.56+50000*(10^-L500)-R500,1.79+AA500*1.8+Z500*5.56+50000*(10^-L500)-R500),L500&gt;5,IF(ISNUMBER(X500)=TRUE,X500*1.79+AA500*1.8+50000*(10^-L500)-R500,AA500*1.8+50000*(10^-L500)-R500))</f>
        <v>49.197352738505046</v>
      </c>
      <c r="W500" s="8">
        <v>0.56899999999999995</v>
      </c>
      <c r="X500" s="8">
        <v>0.23499999999999999</v>
      </c>
      <c r="Y500" s="8"/>
      <c r="Z500" s="8">
        <v>5.07</v>
      </c>
      <c r="AA500" s="8">
        <v>1.3520000000000001</v>
      </c>
      <c r="AB500" s="40">
        <v>161.19999999999999</v>
      </c>
      <c r="AC500" s="2"/>
      <c r="AD500" s="2"/>
      <c r="AE500" s="2"/>
      <c r="AF500" s="2"/>
      <c r="AG500" s="2"/>
      <c r="AJ500" s="2"/>
      <c r="AK500" s="2" t="s">
        <v>363</v>
      </c>
      <c r="AL500" s="6">
        <v>252</v>
      </c>
      <c r="AM500" s="2"/>
      <c r="AN500" s="1">
        <f t="shared" ref="AN500" si="403">S500*J500*0.012</f>
        <v>6.2805624000000009</v>
      </c>
      <c r="AO500" s="1">
        <f t="shared" ref="AO500" si="404">W500*J500*0.012</f>
        <v>6.3138515999999992E-2</v>
      </c>
      <c r="AP500" s="1">
        <f>Z500*J500*0.012</f>
        <v>0.56258748000000003</v>
      </c>
      <c r="AQ500" s="1">
        <f t="shared" ref="AQ500" si="405">AA500*J500*0.012</f>
        <v>0.15002332800000001</v>
      </c>
      <c r="AR500" s="1">
        <f t="shared" ref="AR500" si="406">AB500*J500*0.012</f>
        <v>17.887396799999998</v>
      </c>
      <c r="AS500" s="1">
        <f t="shared" ref="AS500" si="407">0.012*R500*J500</f>
        <v>0</v>
      </c>
    </row>
    <row r="501" spans="1:46" x14ac:dyDescent="0.3">
      <c r="A501" s="5">
        <v>45617</v>
      </c>
      <c r="B501"/>
      <c r="C501" t="s">
        <v>291</v>
      </c>
      <c r="E501" t="s">
        <v>295</v>
      </c>
      <c r="F501" s="5"/>
      <c r="G501" s="5"/>
      <c r="H501" t="s">
        <v>218</v>
      </c>
      <c r="I501" s="5"/>
      <c r="J501" s="4">
        <v>7.33</v>
      </c>
      <c r="K501" s="4" t="s">
        <v>96</v>
      </c>
      <c r="L501" s="2">
        <v>4.05</v>
      </c>
      <c r="M501" s="2">
        <v>3.6</v>
      </c>
      <c r="N501" s="4">
        <v>438</v>
      </c>
      <c r="O501" s="4"/>
      <c r="P501" s="4">
        <v>10.4</v>
      </c>
      <c r="Q501" s="4">
        <v>0</v>
      </c>
      <c r="R501" s="6">
        <v>0</v>
      </c>
      <c r="S501" s="40">
        <v>57.8</v>
      </c>
      <c r="T501" s="4" cm="1">
        <f t="array" ref="T501">_xlfn.IFS(L501&lt;=5,IF(ISNUMBER(X501)=TRUE,X501*1.79+AA501*1.8+Z501*5.56+50000*(10^-L501)-R501,1.79+AA501*1.8+Z501*5.56+50000*(10^-L501)-R501),L501&gt;5,IF(ISNUMBER(X501)=TRUE,X501*1.79+AA501*1.8+50000*(10^-L501)-R501,AA501*1.8+50000*(10^-L501)-R501))</f>
        <v>38.35619469066873</v>
      </c>
      <c r="W501" s="3">
        <v>0.71899999999999997</v>
      </c>
      <c r="X501" s="3">
        <v>0.11799999999999999</v>
      </c>
      <c r="Z501" s="3">
        <v>5.6020000000000003</v>
      </c>
      <c r="AA501" s="3">
        <v>1.4119999999999999</v>
      </c>
      <c r="AB501" s="4">
        <v>171.8</v>
      </c>
      <c r="AC501" s="6"/>
      <c r="AD501" s="6"/>
      <c r="AE501" s="8"/>
      <c r="AF501" s="8"/>
      <c r="AG501" s="6"/>
      <c r="AH501" s="6"/>
      <c r="AI501" s="41"/>
      <c r="AJ501" s="6"/>
      <c r="AK501" s="2" t="s">
        <v>363</v>
      </c>
      <c r="AL501" s="4">
        <v>246</v>
      </c>
      <c r="AM501" s="2"/>
      <c r="AN501" s="1">
        <f t="shared" ref="AN501" si="408">S501*J501*0.012</f>
        <v>5.0840879999999995</v>
      </c>
      <c r="AO501" s="1">
        <f t="shared" ref="AO501" si="409">W501*J501*0.012</f>
        <v>6.3243240000000006E-2</v>
      </c>
      <c r="AP501" s="1">
        <f t="shared" ref="AP501" si="410">Z501*J501*0.012</f>
        <v>0.49275192000000001</v>
      </c>
      <c r="AQ501" s="1">
        <f t="shared" ref="AQ501" si="411">AA501*J501*0.012</f>
        <v>0.12419951999999999</v>
      </c>
      <c r="AR501" s="1">
        <f t="shared" ref="AR501" si="412">AB501*J501*0.012</f>
        <v>15.111528000000002</v>
      </c>
      <c r="AS501" s="1">
        <f t="shared" ref="AS501" si="413">0.012*R501*J501</f>
        <v>0</v>
      </c>
    </row>
    <row r="502" spans="1:46" x14ac:dyDescent="0.3">
      <c r="A502" s="5">
        <v>45644</v>
      </c>
      <c r="B502">
        <v>34</v>
      </c>
      <c r="C502" t="s">
        <v>291</v>
      </c>
      <c r="E502" t="s">
        <v>295</v>
      </c>
      <c r="F502" s="5"/>
      <c r="G502" s="5"/>
      <c r="H502" t="s">
        <v>299</v>
      </c>
      <c r="I502" s="5"/>
      <c r="J502" s="4">
        <v>21</v>
      </c>
      <c r="K502" s="4" t="s">
        <v>96</v>
      </c>
      <c r="L502" s="2">
        <v>3.62</v>
      </c>
      <c r="M502" s="2">
        <v>3.6</v>
      </c>
      <c r="N502" s="4">
        <v>425</v>
      </c>
      <c r="O502" s="4"/>
      <c r="P502" s="4"/>
      <c r="R502" s="6">
        <v>0</v>
      </c>
      <c r="S502" s="40">
        <v>53.2</v>
      </c>
      <c r="T502" s="4" cm="1">
        <f t="array" ref="T502">_xlfn.IFS(M502&lt;=5,IF(ISNUMBER(X502)=TRUE,X502*1.79+AA502*1.8+Z502*5.56+50000*(10^-M502)-R502,1.79+AA502*1.8+Z502*5.56+50000*(10^-M502)-R502),M502&gt;5,IF(ISNUMBER(X502)=TRUE,X502*1.79+AA502*1.8+50000*(10^-M502)-R502,AA502*1.8+50000*(10^-M502)-R502))</f>
        <v>41.235422157547887</v>
      </c>
      <c r="W502" s="101">
        <v>0.3</v>
      </c>
      <c r="X502" s="8">
        <v>0.121</v>
      </c>
      <c r="Y502" s="8"/>
      <c r="Z502" s="8">
        <v>4.7</v>
      </c>
      <c r="AA502" s="8">
        <v>1.2929999999999999</v>
      </c>
      <c r="AB502" s="115">
        <v>1002.6</v>
      </c>
      <c r="AC502" s="2"/>
      <c r="AD502" s="2"/>
      <c r="AE502" s="2"/>
      <c r="AF502" s="2"/>
      <c r="AG502" s="2"/>
      <c r="AJ502" s="2"/>
      <c r="AK502" s="2" t="s">
        <v>363</v>
      </c>
      <c r="AL502" s="6">
        <v>240</v>
      </c>
      <c r="AM502" s="2"/>
      <c r="AN502" s="1">
        <f t="shared" ref="AN502" si="414">S502*J502*0.012</f>
        <v>13.406400000000001</v>
      </c>
      <c r="AO502" s="1">
        <f t="shared" ref="AO502" si="415">W502*J502*0.012</f>
        <v>7.5600000000000001E-2</v>
      </c>
      <c r="AP502" s="1">
        <f t="shared" ref="AP502" si="416">Z502*J502*0.012</f>
        <v>1.1844000000000001</v>
      </c>
      <c r="AQ502" s="1">
        <f t="shared" ref="AQ502" si="417">AA502*J502*0.012</f>
        <v>0.32583600000000001</v>
      </c>
      <c r="AR502" s="1">
        <f t="shared" ref="AR502" si="418">AB502*J502*0.012</f>
        <v>252.65520000000004</v>
      </c>
      <c r="AS502" s="1">
        <f t="shared" ref="AS502" si="419">0.012*R502*J502</f>
        <v>0</v>
      </c>
    </row>
    <row r="503" spans="1:46" x14ac:dyDescent="0.3">
      <c r="A503" s="5">
        <v>45687</v>
      </c>
      <c r="B503">
        <v>4</v>
      </c>
      <c r="C503" t="s">
        <v>291</v>
      </c>
      <c r="E503" t="s">
        <v>295</v>
      </c>
      <c r="F503" s="5"/>
      <c r="G503" s="5"/>
      <c r="H503" t="s">
        <v>218</v>
      </c>
      <c r="I503" s="5"/>
      <c r="J503" s="4">
        <v>11.1</v>
      </c>
      <c r="K503" s="4" t="s">
        <v>96</v>
      </c>
      <c r="L503" s="2">
        <v>3.66</v>
      </c>
      <c r="M503" s="2">
        <v>3.6</v>
      </c>
      <c r="N503" s="4">
        <v>409</v>
      </c>
      <c r="O503" s="4"/>
      <c r="P503" s="4">
        <v>8.9</v>
      </c>
      <c r="Q503" s="4">
        <v>0</v>
      </c>
      <c r="R503" s="6">
        <v>0</v>
      </c>
      <c r="S503" s="40">
        <v>50.6</v>
      </c>
      <c r="T503" s="4" cm="1">
        <f t="array" ref="T503">_xlfn.IFS(M503&lt;=5,IF(ISNUMBER(X503)=TRUE,X503*1.79+AA503*1.8+Z503*5.56+50000*(10^-M503)-R503,1.79+AA503*1.8+Z503*5.56+50000*(10^-M503)-R503),M503&gt;5,IF(ISNUMBER(X503)=TRUE,X503*1.79+AA503*1.8+50000*(10^-M503)-R503,AA503*1.8+50000*(10^-M503)-R503))</f>
        <v>37.812292157547887</v>
      </c>
      <c r="W503" s="101">
        <v>0.3</v>
      </c>
      <c r="X503" s="101">
        <v>0.05</v>
      </c>
      <c r="Y503" s="8"/>
      <c r="Z503" s="8">
        <v>4.1360000000000001</v>
      </c>
      <c r="AA503" s="8">
        <v>1.204</v>
      </c>
      <c r="AB503" s="99">
        <v>129.9</v>
      </c>
      <c r="AC503" s="2"/>
      <c r="AD503" s="2"/>
      <c r="AE503" s="2"/>
      <c r="AF503" s="2"/>
      <c r="AG503" s="2"/>
      <c r="AJ503" s="2"/>
      <c r="AK503" s="2" t="s">
        <v>363</v>
      </c>
      <c r="AL503" s="6">
        <v>228</v>
      </c>
      <c r="AM503" s="2"/>
      <c r="AN503" s="1">
        <f t="shared" ref="AN503" si="420">S503*J503*0.012</f>
        <v>6.7399199999999997</v>
      </c>
      <c r="AO503" s="1">
        <f t="shared" ref="AO503" si="421">W503*J503*0.012</f>
        <v>3.9959999999999996E-2</v>
      </c>
      <c r="AP503" s="1">
        <f t="shared" ref="AP503" si="422">Z503*J503*0.012</f>
        <v>0.55091519999999994</v>
      </c>
      <c r="AQ503" s="1">
        <f t="shared" ref="AQ503" si="423">AA503*J503*0.012</f>
        <v>0.16037280000000001</v>
      </c>
      <c r="AR503" s="1">
        <f t="shared" ref="AR503" si="424">AB503*J503*0.012</f>
        <v>17.302680000000002</v>
      </c>
      <c r="AS503" s="1">
        <f t="shared" ref="AS503" si="425">0.012*R503*J503</f>
        <v>0</v>
      </c>
    </row>
    <row r="504" spans="1:46" x14ac:dyDescent="0.3">
      <c r="F504" s="5"/>
      <c r="G504" s="5"/>
      <c r="U504" s="6"/>
      <c r="V504" s="6"/>
      <c r="AC504" s="6"/>
      <c r="AD504" s="6"/>
      <c r="AE504" s="8"/>
      <c r="AF504" s="8"/>
      <c r="AG504" s="6"/>
      <c r="AH504" s="6"/>
      <c r="AI504" s="41"/>
      <c r="AJ504" s="6"/>
      <c r="AK504" s="6"/>
    </row>
    <row r="505" spans="1:46" x14ac:dyDescent="0.3">
      <c r="A505" s="5">
        <v>45169</v>
      </c>
      <c r="B505" s="12" t="s">
        <v>55</v>
      </c>
      <c r="C505" t="s">
        <v>306</v>
      </c>
      <c r="E505" s="49" t="s">
        <v>307</v>
      </c>
      <c r="H505" t="s">
        <v>256</v>
      </c>
      <c r="J505" s="1">
        <v>661</v>
      </c>
      <c r="K505" t="s">
        <v>96</v>
      </c>
      <c r="L505" s="2">
        <v>6.67</v>
      </c>
      <c r="M505" s="2">
        <v>6.4</v>
      </c>
      <c r="N505" s="1">
        <v>372</v>
      </c>
      <c r="O505" s="6">
        <v>361</v>
      </c>
      <c r="R505" s="6">
        <v>62</v>
      </c>
      <c r="S505" s="40">
        <v>-42.8</v>
      </c>
      <c r="T505" s="4" cm="1">
        <f t="array" ref="T505">_xlfn.IFS(L505&lt;=5,IF(ISNUMBER(X505)=TRUE,X505*1.79+AA505*1.8+Z505*5.56+50000*(10^-L505)-R505,1.79+AA505*1.8+Z505*5.56+50000*(10^-L505)-R505),L505&gt;5,IF(ISNUMBER(X505)=TRUE,X505*1.79+AA505*1.8+50000*(10^-L505)-R505,AA505*1.8+50000*(10^-L505)-R505))</f>
        <v>-52.90704018955249</v>
      </c>
      <c r="U505" s="6"/>
      <c r="V505" s="6"/>
      <c r="W505" s="8">
        <v>7</v>
      </c>
      <c r="X505" s="8">
        <v>4.5529999999999999</v>
      </c>
      <c r="Y505" s="8"/>
      <c r="Z505" s="8">
        <v>0.48599999999999999</v>
      </c>
      <c r="AA505" s="8">
        <v>0.51800000000000002</v>
      </c>
      <c r="AB505" s="40">
        <v>85.31</v>
      </c>
      <c r="AC505" s="6">
        <v>41.4</v>
      </c>
      <c r="AD505" s="6">
        <v>12.8</v>
      </c>
      <c r="AE505" s="8">
        <v>7.23</v>
      </c>
      <c r="AF505" s="8">
        <v>2.04</v>
      </c>
      <c r="AG505" s="6">
        <v>12.8</v>
      </c>
      <c r="AH505" s="6">
        <v>0.05</v>
      </c>
      <c r="AI505" s="41">
        <v>0.03</v>
      </c>
      <c r="AJ505" s="6">
        <v>0.2</v>
      </c>
      <c r="AK505" s="6"/>
      <c r="AL505" s="6"/>
      <c r="AN505" s="1">
        <f t="shared" ref="AN505" si="426">S505*J505*0.012</f>
        <v>-339.4896</v>
      </c>
      <c r="AO505" s="1">
        <f t="shared" ref="AO505" si="427">W505*J505*0.012</f>
        <v>55.524000000000001</v>
      </c>
      <c r="AP505" s="1">
        <f t="shared" ref="AP505" si="428">Z505*J505*0.012</f>
        <v>3.8549519999999999</v>
      </c>
      <c r="AQ505" s="1">
        <f t="shared" ref="AQ505" si="429">AA505*J505*0.012</f>
        <v>4.1087760000000006</v>
      </c>
      <c r="AR505" s="1">
        <f t="shared" ref="AR505" si="430">AB505*J505*0.012</f>
        <v>676.67892000000006</v>
      </c>
      <c r="AS505" s="1">
        <f t="shared" si="260"/>
        <v>491.78399999999999</v>
      </c>
    </row>
    <row r="506" spans="1:46" x14ac:dyDescent="0.3">
      <c r="A506" s="5">
        <f>'Penn Run'!A99</f>
        <v>45352</v>
      </c>
      <c r="B506" s="5"/>
      <c r="C506" s="5" t="str">
        <f>'Penn Run'!C99</f>
        <v>MP7.1</v>
      </c>
      <c r="D506" s="5"/>
      <c r="E506" s="5" t="str">
        <f>'Penn Run'!E99</f>
        <v>Penn Run upstream of MP7 trib</v>
      </c>
      <c r="F506" s="5"/>
      <c r="G506" s="5"/>
      <c r="H506" s="5" t="str">
        <f>'Penn Run'!H99</f>
        <v>Hedin and ICCD</v>
      </c>
      <c r="J506" s="4">
        <f>IF(ISNUMBER('Penn Run'!J99),'Penn Run'!J99,"")</f>
        <v>4081.41</v>
      </c>
      <c r="K506" t="s">
        <v>96</v>
      </c>
      <c r="L506" s="2">
        <f>IF(ISNUMBER('Penn Run'!L99),'Penn Run'!L99,"")</f>
        <v>6.85</v>
      </c>
      <c r="M506" s="2">
        <f>IF(ISNUMBER('Penn Run'!M99),'Penn Run'!M99,"")</f>
        <v>6.4</v>
      </c>
      <c r="N506" s="4">
        <f>IF(ISNUMBER('Penn Run'!N99),'Penn Run'!N99,"")</f>
        <v>190</v>
      </c>
      <c r="O506" s="4" t="str">
        <f>IF(ISNUMBER('Penn Run'!O99),'Penn Run'!O99,"")</f>
        <v/>
      </c>
      <c r="P506" s="4">
        <f>IF(ISNUMBER('Penn Run'!P99),'Penn Run'!P99,"")</f>
        <v>6.6</v>
      </c>
      <c r="Q506" s="4" t="str">
        <f>IF(ISNUMBER('Penn Run'!Q99),'Penn Run'!Q99,"")</f>
        <v/>
      </c>
      <c r="R506" s="4">
        <f>IF(ISNUMBER('Penn Run'!R99),'Penn Run'!R99,"")</f>
        <v>36.4</v>
      </c>
      <c r="S506" s="4">
        <f>IF(ISNUMBER('Penn Run'!S99),'Penn Run'!S99,"")</f>
        <v>-21.2</v>
      </c>
      <c r="T506" s="4">
        <f>IF(ISNUMBER('Penn Run'!T99),'Penn Run'!T99,"")</f>
        <v>-34.375887312276888</v>
      </c>
      <c r="U506" s="4" t="str">
        <f>IF(ISNUMBER('Penn Run'!U99),'Penn Run'!U99,"")</f>
        <v/>
      </c>
      <c r="V506" s="4" t="str">
        <f>IF(ISNUMBER('Penn Run'!V99),'Penn Run'!V99,"")</f>
        <v/>
      </c>
      <c r="W506" s="3">
        <f>IF(ISNUMBER('Penn Run'!W99),'Penn Run'!W99,"")</f>
        <v>2.38</v>
      </c>
      <c r="X506" s="3">
        <f>IF(ISNUMBER('Penn Run'!X99),'Penn Run'!X99,"")</f>
        <v>0.97499999999999998</v>
      </c>
      <c r="Z506" s="3">
        <f>IF(ISNUMBER('Penn Run'!Z99),'Penn Run'!Z99,"")</f>
        <v>0.5</v>
      </c>
      <c r="AA506" s="3">
        <f>IF(ISNUMBER('Penn Run'!AA99),'Penn Run'!AA99,"")</f>
        <v>0.151</v>
      </c>
      <c r="AB506" s="4">
        <f>IF(ISNUMBER('Penn Run'!AB99),'Penn Run'!AB99,"")</f>
        <v>40.200000000000003</v>
      </c>
      <c r="AC506" s="4" t="str">
        <f>IF(ISNUMBER('Penn Run'!AC99),'Penn Run'!AC99,"")</f>
        <v/>
      </c>
      <c r="AD506" s="4" t="str">
        <f>IF(ISNUMBER('Penn Run'!AD99),'Penn Run'!AD99,"")</f>
        <v/>
      </c>
      <c r="AE506" s="4" t="str">
        <f>IF(ISNUMBER('Penn Run'!AE99),'Penn Run'!AE99,"")</f>
        <v/>
      </c>
      <c r="AF506" s="4" t="str">
        <f>IF(ISNUMBER('Penn Run'!AF99),'Penn Run'!AF99,"")</f>
        <v/>
      </c>
      <c r="AG506" s="4" t="str">
        <f>IF(ISNUMBER('Penn Run'!AG99),'Penn Run'!AG99,"")</f>
        <v/>
      </c>
      <c r="AH506" s="4" t="str">
        <f>IF(ISNUMBER('Penn Run'!AH99),'Penn Run'!AH99,"")</f>
        <v/>
      </c>
      <c r="AI506" s="4" t="str">
        <f>IF(ISNUMBER('Penn Run'!AI99),'Penn Run'!AI99,"")</f>
        <v/>
      </c>
      <c r="AJ506" s="4" t="str">
        <f>IF(ISNUMBER('Penn Run'!AJ99),'Penn Run'!AJ99,"")</f>
        <v/>
      </c>
      <c r="AK506" s="4" t="str">
        <f>IF(ISNUMBER('Penn Run'!AK99),'Penn Run'!AK99,"")</f>
        <v/>
      </c>
      <c r="AL506" s="4">
        <f>IF(ISNUMBER('Penn Run'!AL99),'Penn Run'!AL99,"")</f>
        <v>138</v>
      </c>
      <c r="AM506" s="4" t="str">
        <f>IF(ISNUMBER('Penn Run'!AM99),'Penn Run'!AM99,"")</f>
        <v/>
      </c>
      <c r="AN506" s="4">
        <f>IF(ISNUMBER('Penn Run'!AN99),'Penn Run'!AN99,"")</f>
        <v>-1038.310704</v>
      </c>
      <c r="AO506" s="4">
        <f>IF(ISNUMBER('Penn Run'!AO99),'Penn Run'!AO99,"")</f>
        <v>116.56506959999999</v>
      </c>
      <c r="AP506" s="4">
        <f>IF(ISNUMBER('Penn Run'!AP99),'Penn Run'!AP99,"")</f>
        <v>24.48846</v>
      </c>
      <c r="AQ506" s="4">
        <f>IF(ISNUMBER('Penn Run'!AQ99),'Penn Run'!AQ99,"")</f>
        <v>7.3955149200000001</v>
      </c>
      <c r="AR506" s="4">
        <f>IF(ISNUMBER('Penn Run'!AR99),'Penn Run'!AR99,"")</f>
        <v>1968.8721840000001</v>
      </c>
      <c r="AS506" s="1">
        <f t="shared" si="260"/>
        <v>1782.7598879999998</v>
      </c>
    </row>
    <row r="508" spans="1:46" x14ac:dyDescent="0.3">
      <c r="A508" s="5">
        <v>45022</v>
      </c>
      <c r="B508" s="12" t="s">
        <v>29</v>
      </c>
      <c r="C508" t="s">
        <v>205</v>
      </c>
      <c r="E508" t="s">
        <v>258</v>
      </c>
      <c r="H508" t="s">
        <v>256</v>
      </c>
      <c r="J508" s="1">
        <v>1130</v>
      </c>
      <c r="L508" s="2">
        <v>6.18</v>
      </c>
      <c r="M508" s="2">
        <v>5.8</v>
      </c>
      <c r="N508" s="1">
        <v>374</v>
      </c>
      <c r="O508" s="1">
        <v>394</v>
      </c>
      <c r="R508" s="4">
        <v>7.8</v>
      </c>
      <c r="S508" s="4">
        <v>2.8</v>
      </c>
      <c r="T508" s="4" cm="1">
        <f t="array" ref="T508">_xlfn.IFS(L508&lt;=5,IF(ISNUMBER(X508)=TRUE,X508*1.79+AA508*1.8+Z508*5.56+50000*(10^-L508)-R508,1.79+AA508*1.8+Z508*5.56+50000*(10^-L508)-R508),L508&gt;5,IF(ISNUMBER(X508)=TRUE,X508*1.79+AA508*1.8+50000*(10^-L508)-R508,AA508*1.8+50000*(10^-L508)-R508))</f>
        <v>-4.6288853275996207</v>
      </c>
      <c r="W508" s="3">
        <v>1.47</v>
      </c>
      <c r="X508" s="3">
        <v>0.83199999999999996</v>
      </c>
      <c r="Z508" s="3">
        <v>1.81</v>
      </c>
      <c r="AA508" s="3">
        <v>0.91600000000000004</v>
      </c>
      <c r="AB508" s="4">
        <v>159.72</v>
      </c>
      <c r="AC508" s="3">
        <v>36.4</v>
      </c>
      <c r="AD508" s="3">
        <v>21.1</v>
      </c>
      <c r="AE508" s="3">
        <v>2.8</v>
      </c>
      <c r="AF508" s="3">
        <v>2.09</v>
      </c>
      <c r="AG508" s="3">
        <v>5.0999999999999996</v>
      </c>
      <c r="AH508" s="2" t="s">
        <v>161</v>
      </c>
      <c r="AI508" s="2">
        <v>9.2999999999999999E-2</v>
      </c>
      <c r="AJ508" s="3" t="s">
        <v>159</v>
      </c>
      <c r="AN508" s="1">
        <f>S508*J508*0.012</f>
        <v>37.968000000000004</v>
      </c>
      <c r="AO508" s="1">
        <f>W508*J508*0.012</f>
        <v>19.933199999999999</v>
      </c>
      <c r="AP508" s="1">
        <f>Z508*J508*0.012</f>
        <v>24.543600000000001</v>
      </c>
      <c r="AQ508" s="1">
        <f>AA508*J508*0.012</f>
        <v>12.420960000000003</v>
      </c>
      <c r="AR508" s="1">
        <f>AB508*J508*0.012</f>
        <v>2165.8032000000003</v>
      </c>
      <c r="AS508" s="1">
        <f t="shared" si="260"/>
        <v>105.768</v>
      </c>
      <c r="AT508" t="s">
        <v>262</v>
      </c>
    </row>
    <row r="509" spans="1:46" x14ac:dyDescent="0.3">
      <c r="A509" s="5">
        <v>45098</v>
      </c>
      <c r="B509" s="12" t="s">
        <v>77</v>
      </c>
      <c r="C509" t="s">
        <v>205</v>
      </c>
      <c r="E509" t="s">
        <v>258</v>
      </c>
      <c r="H509" t="s">
        <v>93</v>
      </c>
      <c r="J509" s="1">
        <v>305</v>
      </c>
      <c r="L509" s="2">
        <v>5.99</v>
      </c>
      <c r="M509" s="2">
        <v>6.2</v>
      </c>
      <c r="N509" s="1">
        <v>420</v>
      </c>
      <c r="O509" s="1">
        <v>457</v>
      </c>
      <c r="P509" s="3">
        <v>16.2</v>
      </c>
      <c r="Q509" s="4">
        <v>12</v>
      </c>
      <c r="R509" s="40">
        <v>14.4</v>
      </c>
      <c r="S509" s="40">
        <v>-4.4000000000000004</v>
      </c>
      <c r="T509" s="4" cm="1">
        <f t="array" ref="T509">_xlfn.IFS(L509&lt;=5,IF(ISNUMBER(X509)=TRUE,X509*1.79+AA509*1.8+Z509*5.56+50000*(10^-L509)-Q509,1.79+AA509*1.8+Z509*5.56+50000*(10^-L509)-Q509),L509&gt;5,IF(ISNUMBER(X509)=TRUE,X509*1.79+AA509*1.8+50000*(10^-L509)-Q509,AA509*1.8+50000*(10^-L509)-Q509))</f>
        <v>-5.2791453503859618</v>
      </c>
      <c r="U509" s="6"/>
      <c r="V509" s="6"/>
      <c r="W509" s="8">
        <v>3.61</v>
      </c>
      <c r="X509" s="8">
        <v>2.9910000000000001</v>
      </c>
      <c r="Y509" s="8"/>
      <c r="Z509" s="8">
        <v>0.45200000000000001</v>
      </c>
      <c r="AA509" s="8">
        <v>0.73099999999999998</v>
      </c>
      <c r="AB509" s="40">
        <v>193.54</v>
      </c>
      <c r="AC509" s="8">
        <v>44</v>
      </c>
      <c r="AD509" s="6">
        <v>26.2</v>
      </c>
      <c r="AE509" s="8">
        <v>2.94</v>
      </c>
      <c r="AF509" s="8">
        <v>2.35</v>
      </c>
      <c r="AG509" s="6">
        <v>4.9000000000000004</v>
      </c>
      <c r="AH509" s="6">
        <v>0.05</v>
      </c>
      <c r="AI509" s="41">
        <v>4.2999999999999997E-2</v>
      </c>
      <c r="AJ509" s="6">
        <v>0.2</v>
      </c>
      <c r="AK509" s="6"/>
      <c r="AL509" s="6"/>
      <c r="AN509" s="1">
        <f>S509*J509*0.012</f>
        <v>-16.103999999999999</v>
      </c>
      <c r="AO509" s="1">
        <f>W509*J509*0.012</f>
        <v>13.2126</v>
      </c>
      <c r="AP509" s="1">
        <f>Z509*J509*0.012</f>
        <v>1.6543200000000002</v>
      </c>
      <c r="AQ509" s="1">
        <f>AA509*J509*0.012</f>
        <v>2.6754599999999997</v>
      </c>
      <c r="AR509" s="1">
        <f>AB509*J509*0.012</f>
        <v>708.35640000000001</v>
      </c>
      <c r="AS509" s="1">
        <f t="shared" si="260"/>
        <v>52.704000000000001</v>
      </c>
    </row>
    <row r="510" spans="1:46" x14ac:dyDescent="0.3">
      <c r="A510" s="5">
        <v>45169</v>
      </c>
      <c r="B510" s="12" t="s">
        <v>58</v>
      </c>
      <c r="C510" t="s">
        <v>205</v>
      </c>
      <c r="E510" t="s">
        <v>258</v>
      </c>
      <c r="H510" t="s">
        <v>256</v>
      </c>
      <c r="J510" s="1">
        <v>655</v>
      </c>
      <c r="K510" t="s">
        <v>96</v>
      </c>
      <c r="L510" s="2">
        <v>6.6</v>
      </c>
      <c r="M510" s="2">
        <v>6.1</v>
      </c>
      <c r="N510" s="1">
        <v>456</v>
      </c>
      <c r="O510" s="1">
        <v>445</v>
      </c>
      <c r="R510" s="4">
        <v>15.4</v>
      </c>
      <c r="S510" s="4">
        <v>5.8</v>
      </c>
      <c r="T510" s="4" cm="1">
        <f t="array" ref="T510">_xlfn.IFS(L510&lt;=5,IF(ISNUMBER(X510)=TRUE,X510*1.79+AA510*1.8+Z510*5.56+50000*(10^-L510)-R510,1.79+AA510*1.8+Z510*5.56+50000*(10^-L510)-R510),L510&gt;5,IF(ISNUMBER(X510)=TRUE,X510*1.79+AA510*1.8+50000*(10^-L510)-R510,AA510*1.8+50000*(10^-L510)-R510))</f>
        <v>-12.032650567842452</v>
      </c>
      <c r="W510" s="3">
        <v>1.84</v>
      </c>
      <c r="X510" s="3">
        <v>1.121</v>
      </c>
      <c r="Z510" s="3">
        <v>0.94499999999999995</v>
      </c>
      <c r="AA510" s="3">
        <v>0.749</v>
      </c>
      <c r="AB510" s="6">
        <v>184</v>
      </c>
      <c r="AC510" s="6">
        <v>43.2</v>
      </c>
      <c r="AD510" s="6">
        <v>25.6</v>
      </c>
      <c r="AE510" s="8">
        <v>2.4900000000000002</v>
      </c>
      <c r="AF510" s="8">
        <v>2.3199999999999998</v>
      </c>
      <c r="AG510" s="6">
        <v>4.0999999999999996</v>
      </c>
      <c r="AH510" s="2">
        <v>0.05</v>
      </c>
      <c r="AI510" s="2">
        <v>0.06</v>
      </c>
      <c r="AJ510" s="3">
        <v>0.2</v>
      </c>
      <c r="AN510" s="1">
        <f>S510*J510*0.012</f>
        <v>45.588000000000001</v>
      </c>
      <c r="AO510" s="1">
        <f>W510*J510*0.012</f>
        <v>14.462400000000001</v>
      </c>
      <c r="AP510" s="1">
        <f>Z510*J510*0.012</f>
        <v>7.4277000000000006</v>
      </c>
      <c r="AQ510" s="1">
        <f>AA510*J510*0.012</f>
        <v>5.8871400000000005</v>
      </c>
      <c r="AR510" s="1">
        <f>AB510*J510*0.012</f>
        <v>1446.24</v>
      </c>
      <c r="AS510" s="1">
        <f t="shared" si="260"/>
        <v>121.04400000000001</v>
      </c>
    </row>
    <row r="511" spans="1:46" x14ac:dyDescent="0.3">
      <c r="A511" s="5" t="e">
        <f>'Penn Run'!#REF!</f>
        <v>#REF!</v>
      </c>
      <c r="B511" s="5"/>
      <c r="C511" s="5" t="e">
        <f>'Penn Run'!#REF!</f>
        <v>#REF!</v>
      </c>
      <c r="D511" s="5"/>
      <c r="E511" s="5" t="e">
        <f>'Penn Run'!#REF!</f>
        <v>#REF!</v>
      </c>
      <c r="F511" s="5"/>
      <c r="G511" s="5"/>
      <c r="H511" s="5" t="e">
        <f>'Penn Run'!#REF!</f>
        <v>#REF!</v>
      </c>
      <c r="J511" s="4" t="str">
        <f>IF(ISNUMBER('Penn Run'!#REF!),'Penn Run'!#REF!,"")</f>
        <v/>
      </c>
      <c r="K511" t="s">
        <v>96</v>
      </c>
      <c r="L511" s="2" t="str">
        <f>IF(ISNUMBER('Penn Run'!#REF!),'Penn Run'!#REF!,"")</f>
        <v/>
      </c>
      <c r="M511" s="2" t="str">
        <f>IF(ISNUMBER('Penn Run'!#REF!),'Penn Run'!#REF!,"")</f>
        <v/>
      </c>
      <c r="N511" s="4" t="str">
        <f>IF(ISNUMBER('Penn Run'!#REF!),'Penn Run'!#REF!,"")</f>
        <v/>
      </c>
      <c r="O511" s="4" t="str">
        <f>IF(ISNUMBER('Penn Run'!#REF!),'Penn Run'!#REF!,"")</f>
        <v/>
      </c>
      <c r="P511" s="4" t="str">
        <f>IF(ISNUMBER('Penn Run'!#REF!),'Penn Run'!#REF!,"")</f>
        <v/>
      </c>
      <c r="Q511" s="4" t="str">
        <f>IF(ISNUMBER('Penn Run'!#REF!),'Penn Run'!#REF!,"")</f>
        <v/>
      </c>
      <c r="R511" s="4" t="str">
        <f>IF(ISNUMBER('Penn Run'!#REF!),'Penn Run'!#REF!,"")</f>
        <v/>
      </c>
      <c r="S511" s="4" t="str">
        <f>IF(ISNUMBER('Penn Run'!#REF!),'Penn Run'!#REF!,"")</f>
        <v/>
      </c>
      <c r="T511" s="4" t="str">
        <f>IF(ISNUMBER('Penn Run'!#REF!),'Penn Run'!#REF!,"")</f>
        <v/>
      </c>
      <c r="U511" s="4" t="str">
        <f>IF(ISNUMBER('Penn Run'!#REF!),'Penn Run'!#REF!,"")</f>
        <v/>
      </c>
      <c r="V511" s="4" t="str">
        <f>IF(ISNUMBER('Penn Run'!#REF!),'Penn Run'!#REF!,"")</f>
        <v/>
      </c>
      <c r="W511" s="3" t="str">
        <f>IF(ISNUMBER('Penn Run'!#REF!),'Penn Run'!#REF!,"")</f>
        <v/>
      </c>
      <c r="X511" s="3" t="str">
        <f>IF(ISNUMBER('Penn Run'!#REF!),'Penn Run'!#REF!,"")</f>
        <v/>
      </c>
      <c r="Z511" s="3" t="str">
        <f>IF(ISNUMBER('Penn Run'!#REF!),'Penn Run'!#REF!,"")</f>
        <v/>
      </c>
      <c r="AA511" s="3" t="str">
        <f>IF(ISNUMBER('Penn Run'!#REF!),'Penn Run'!#REF!,"")</f>
        <v/>
      </c>
      <c r="AB511" s="4" t="str">
        <f>IF(ISNUMBER('Penn Run'!#REF!),'Penn Run'!#REF!,"")</f>
        <v/>
      </c>
      <c r="AC511" s="4" t="str">
        <f>IF(ISNUMBER('Penn Run'!#REF!),'Penn Run'!#REF!,"")</f>
        <v/>
      </c>
      <c r="AD511" s="4" t="str">
        <f>IF(ISNUMBER('Penn Run'!#REF!),'Penn Run'!#REF!,"")</f>
        <v/>
      </c>
      <c r="AE511" s="4" t="str">
        <f>IF(ISNUMBER('Penn Run'!#REF!),'Penn Run'!#REF!,"")</f>
        <v/>
      </c>
      <c r="AF511" s="4" t="str">
        <f>IF(ISNUMBER('Penn Run'!#REF!),'Penn Run'!#REF!,"")</f>
        <v/>
      </c>
      <c r="AG511" s="4" t="str">
        <f>IF(ISNUMBER('Penn Run'!#REF!),'Penn Run'!#REF!,"")</f>
        <v/>
      </c>
      <c r="AH511" s="4" t="str">
        <f>IF(ISNUMBER('Penn Run'!#REF!),'Penn Run'!#REF!,"")</f>
        <v/>
      </c>
      <c r="AI511" s="4" t="str">
        <f>IF(ISNUMBER('Penn Run'!#REF!),'Penn Run'!#REF!,"")</f>
        <v/>
      </c>
      <c r="AJ511" s="4" t="str">
        <f>IF(ISNUMBER('Penn Run'!#REF!),'Penn Run'!#REF!,"")</f>
        <v/>
      </c>
      <c r="AK511" s="4" t="str">
        <f>IF(ISNUMBER('Penn Run'!#REF!),'Penn Run'!#REF!,"")</f>
        <v/>
      </c>
      <c r="AL511" s="4" t="str">
        <f>IF(ISNUMBER('Penn Run'!#REF!),'Penn Run'!#REF!,"")</f>
        <v/>
      </c>
      <c r="AM511" s="4" t="str">
        <f>IF(ISNUMBER('Penn Run'!#REF!),'Penn Run'!#REF!,"")</f>
        <v/>
      </c>
      <c r="AN511" s="4" t="str">
        <f>IF(ISNUMBER('Penn Run'!#REF!),'Penn Run'!#REF!,"")</f>
        <v/>
      </c>
      <c r="AO511" s="4" t="str">
        <f>IF(ISNUMBER('Penn Run'!#REF!),'Penn Run'!#REF!,"")</f>
        <v/>
      </c>
      <c r="AP511" s="4" t="str">
        <f>IF(ISNUMBER('Penn Run'!#REF!),'Penn Run'!#REF!,"")</f>
        <v/>
      </c>
      <c r="AQ511" s="4" t="str">
        <f>IF(ISNUMBER('Penn Run'!#REF!),'Penn Run'!#REF!,"")</f>
        <v/>
      </c>
      <c r="AR511" s="4" t="str">
        <f>IF(ISNUMBER('Penn Run'!#REF!),'Penn Run'!#REF!,"")</f>
        <v/>
      </c>
      <c r="AS511" s="1" t="e">
        <f t="shared" si="260"/>
        <v>#VALUE!</v>
      </c>
    </row>
    <row r="512" spans="1:46" x14ac:dyDescent="0.3">
      <c r="A512" s="5">
        <v>45366</v>
      </c>
      <c r="B512">
        <v>4</v>
      </c>
      <c r="C512" t="s">
        <v>205</v>
      </c>
      <c r="E512" t="s">
        <v>258</v>
      </c>
      <c r="F512" s="5"/>
      <c r="G512" s="5"/>
      <c r="H512" s="5" t="s">
        <v>338</v>
      </c>
      <c r="J512" s="4">
        <v>2047</v>
      </c>
      <c r="K512" t="s">
        <v>96</v>
      </c>
      <c r="L512" s="2">
        <v>5.9</v>
      </c>
      <c r="M512" s="2">
        <v>6.1</v>
      </c>
      <c r="N512" s="4">
        <v>314</v>
      </c>
      <c r="O512" s="4"/>
      <c r="P512" s="4"/>
      <c r="R512" s="4">
        <v>21.4</v>
      </c>
      <c r="S512" s="4">
        <v>5.8</v>
      </c>
      <c r="T512" s="4" cm="1">
        <f t="array" ref="T512">_xlfn.IFS(L512&lt;=5,IF(ISNUMBER(X512)=TRUE,X512*1.79+AA512*1.8+Z512*5.56+50000*(10^-L512)-R512,1.79+AA512*1.8+Z512*5.56+50000*(10^-L512)-R512),L512&gt;5,IF(ISNUMBER(X512)=TRUE,X512*1.79+AA512*1.8+50000*(10^-L512)-R512,AA512*1.8+50000*(10^-L512)-R512))</f>
        <v>-18.935093729410291</v>
      </c>
      <c r="U512" s="4"/>
      <c r="V512" s="4"/>
      <c r="W512" s="3">
        <v>1.3839999999999999</v>
      </c>
      <c r="X512" s="3">
        <v>0.46400000000000002</v>
      </c>
      <c r="Z512" s="3">
        <v>2.4729999999999999</v>
      </c>
      <c r="AA512" s="3">
        <v>0.873</v>
      </c>
      <c r="AB512" s="4">
        <v>122.2</v>
      </c>
      <c r="AC512" s="4"/>
      <c r="AD512" s="4"/>
      <c r="AE512" s="4"/>
      <c r="AF512" s="4"/>
      <c r="AG512" s="4"/>
      <c r="AH512" s="4"/>
      <c r="AI512" s="4"/>
      <c r="AJ512" s="4"/>
      <c r="AK512" s="4">
        <v>24</v>
      </c>
      <c r="AL512" s="4">
        <v>208</v>
      </c>
      <c r="AM512" s="4"/>
      <c r="AN512" s="1">
        <f>S512*J512*0.012</f>
        <v>142.47120000000001</v>
      </c>
      <c r="AO512" s="1">
        <f>W512*J512*0.012</f>
        <v>33.996575999999997</v>
      </c>
      <c r="AP512" s="1">
        <f>Z512*J512*0.012</f>
        <v>60.746772</v>
      </c>
      <c r="AQ512" s="1">
        <f>AA512*J512*0.012</f>
        <v>21.444372000000001</v>
      </c>
      <c r="AR512" s="1">
        <f>AB512*J512*0.012</f>
        <v>3001.7208000000001</v>
      </c>
      <c r="AS512" s="1">
        <f t="shared" si="260"/>
        <v>525.66959999999995</v>
      </c>
    </row>
    <row r="513" spans="1:48" x14ac:dyDescent="0.3">
      <c r="A513" s="5">
        <v>45527</v>
      </c>
      <c r="B513">
        <v>7</v>
      </c>
      <c r="C513" s="5" t="s">
        <v>205</v>
      </c>
      <c r="D513" s="5"/>
      <c r="E513" s="5" t="s">
        <v>258</v>
      </c>
      <c r="F513" s="5"/>
      <c r="G513" s="5"/>
      <c r="H513" s="5" t="s">
        <v>338</v>
      </c>
      <c r="J513" s="4">
        <v>564</v>
      </c>
      <c r="K513" t="s">
        <v>96</v>
      </c>
      <c r="L513" s="2">
        <v>5.61</v>
      </c>
      <c r="M513" s="2">
        <v>5.5</v>
      </c>
      <c r="N513" s="4">
        <v>477</v>
      </c>
      <c r="O513" s="4"/>
      <c r="P513" s="4"/>
      <c r="R513" s="4">
        <v>9.6</v>
      </c>
      <c r="S513" s="4">
        <v>11.2</v>
      </c>
      <c r="T513" s="4" cm="1">
        <f t="array" ref="T513">_xlfn.IFS(L513&lt;=5,IF(ISNUMBER(X513)=TRUE,X513*1.79+AA513*1.8+Z513*5.56+50000*(10^-L513)-R513,1.79+AA513*1.8+Z513*5.56+50000*(10^-L513)-R513),L513&gt;5,IF(ISNUMBER(X513)=TRUE,X513*1.79+AA513*1.8+50000*(10^-L513)-R513,AA513*1.8+50000*(10^-L513)-R513))</f>
        <v>-3.6068545542157473</v>
      </c>
      <c r="U513" s="4"/>
      <c r="V513" s="4"/>
      <c r="W513" s="3">
        <v>2.7389999999999999</v>
      </c>
      <c r="X513" s="3">
        <v>2.0990000000000002</v>
      </c>
      <c r="Z513" s="3">
        <v>2.0219999999999998</v>
      </c>
      <c r="AA513" s="3">
        <v>1.1739999999999999</v>
      </c>
      <c r="AB513" s="4">
        <v>236.8</v>
      </c>
      <c r="AC513" s="4"/>
      <c r="AD513" s="4"/>
      <c r="AE513" s="4"/>
      <c r="AF513" s="4"/>
      <c r="AG513" s="4"/>
      <c r="AH513" s="4"/>
      <c r="AI513" s="4"/>
      <c r="AJ513" s="4"/>
      <c r="AK513" s="3" t="s">
        <v>363</v>
      </c>
      <c r="AL513" s="4">
        <v>388</v>
      </c>
      <c r="AM513" s="4"/>
      <c r="AN513" s="1">
        <f>S513*J513*0.012</f>
        <v>75.801599999999993</v>
      </c>
      <c r="AO513" s="1">
        <f>W513*J513*0.012</f>
        <v>18.537551999999998</v>
      </c>
      <c r="AP513" s="1">
        <f>Z513*J513*0.012</f>
        <v>13.684895999999998</v>
      </c>
      <c r="AQ513" s="1">
        <f>AA513*J513*0.012</f>
        <v>7.9456319999999998</v>
      </c>
      <c r="AR513" s="1">
        <f>AB513*J513*0.012</f>
        <v>1602.6624000000002</v>
      </c>
      <c r="AS513" s="1">
        <f t="shared" ref="AS513" si="431">0.012*R513*J513</f>
        <v>64.972799999999992</v>
      </c>
    </row>
    <row r="514" spans="1:48" x14ac:dyDescent="0.3">
      <c r="A514" s="5">
        <v>45595</v>
      </c>
      <c r="B514"/>
      <c r="C514" t="s">
        <v>205</v>
      </c>
      <c r="E514" t="s">
        <v>258</v>
      </c>
      <c r="F514" s="5"/>
      <c r="G514" s="5"/>
      <c r="H514" s="5" t="s">
        <v>338</v>
      </c>
      <c r="J514" s="4"/>
      <c r="L514" s="2">
        <v>6.1</v>
      </c>
      <c r="N514" s="4">
        <v>523</v>
      </c>
      <c r="O514" s="4"/>
      <c r="P514" s="4">
        <v>12.6</v>
      </c>
      <c r="U514" s="4"/>
      <c r="V514" s="4"/>
      <c r="AC514" s="4"/>
      <c r="AD514" s="4"/>
      <c r="AE514" s="4"/>
      <c r="AF514" s="4"/>
      <c r="AG514" s="4"/>
      <c r="AH514" s="4"/>
      <c r="AI514" s="4"/>
      <c r="AJ514" s="4"/>
      <c r="AL514" s="4"/>
      <c r="AM514" s="4"/>
    </row>
    <row r="516" spans="1:48" x14ac:dyDescent="0.3">
      <c r="A516" s="5">
        <v>45022</v>
      </c>
      <c r="B516" s="12" t="s">
        <v>27</v>
      </c>
      <c r="C516" t="s">
        <v>206</v>
      </c>
      <c r="E516" t="s">
        <v>259</v>
      </c>
      <c r="H516" t="s">
        <v>256</v>
      </c>
      <c r="J516" s="1">
        <v>309</v>
      </c>
      <c r="L516" s="2">
        <v>5.64</v>
      </c>
      <c r="M516" s="2">
        <v>5.7</v>
      </c>
      <c r="N516" s="1">
        <v>151</v>
      </c>
      <c r="O516" s="1">
        <v>153.9</v>
      </c>
      <c r="Q516" s="4">
        <v>7</v>
      </c>
      <c r="R516" s="4">
        <v>1.8</v>
      </c>
      <c r="S516" s="4">
        <v>6.6</v>
      </c>
      <c r="T516" s="4" cm="1">
        <f t="array" ref="T516">_xlfn.IFS(L516&lt;=5,IF(ISNUMBER(X516)=TRUE,X516*1.79+AA516*1.8+Z516*5.56+50000*(10^-L516)-Q516,1.79+AA516*1.8+Z516*5.56+50000*(10^-L516)-Q516),L516&gt;5,IF(ISNUMBER(X516)=TRUE,X516*1.79+AA516*1.8+50000*(10^-L516)-Q516,AA516*1.8+50000*(10^-L516)-Q516))</f>
        <v>-5.0651666173616112</v>
      </c>
      <c r="W516" s="3">
        <v>0.63400000000000001</v>
      </c>
      <c r="X516" s="3">
        <v>0.13100000000000001</v>
      </c>
      <c r="Z516" s="3">
        <v>1.45</v>
      </c>
      <c r="AA516" s="3">
        <v>0.88100000000000001</v>
      </c>
      <c r="AB516" s="4">
        <v>58.38</v>
      </c>
      <c r="AC516" s="3">
        <v>14.9</v>
      </c>
      <c r="AD516" s="3">
        <v>6.24</v>
      </c>
      <c r="AE516" s="3">
        <v>0.93</v>
      </c>
      <c r="AF516" s="3">
        <v>1.1499999999999999</v>
      </c>
      <c r="AG516" s="3">
        <v>4</v>
      </c>
      <c r="AH516" s="2" t="s">
        <v>161</v>
      </c>
      <c r="AI516" s="2">
        <v>7.0000000000000007E-2</v>
      </c>
      <c r="AJ516" s="3" t="s">
        <v>159</v>
      </c>
      <c r="AN516" s="1">
        <f>S516*J516*0.012</f>
        <v>24.472799999999999</v>
      </c>
      <c r="AO516" s="1">
        <f>W516*J516*0.012</f>
        <v>2.3508720000000003</v>
      </c>
      <c r="AP516" s="1">
        <f>Z516*J516*0.012</f>
        <v>5.3765999999999998</v>
      </c>
      <c r="AQ516" s="1">
        <f>AA516*J516*0.012</f>
        <v>3.2667479999999998</v>
      </c>
      <c r="AR516" s="1">
        <f>AB516*J516*0.012</f>
        <v>216.47304000000003</v>
      </c>
      <c r="AS516" s="1">
        <f t="shared" si="260"/>
        <v>6.6744000000000003</v>
      </c>
    </row>
    <row r="517" spans="1:48" x14ac:dyDescent="0.3">
      <c r="A517" s="5">
        <v>45098</v>
      </c>
      <c r="B517" s="12" t="s">
        <v>27</v>
      </c>
      <c r="C517" t="s">
        <v>206</v>
      </c>
      <c r="E517" t="s">
        <v>259</v>
      </c>
      <c r="H517" t="s">
        <v>256</v>
      </c>
      <c r="J517" s="1">
        <v>26.95</v>
      </c>
      <c r="K517" t="s">
        <v>106</v>
      </c>
      <c r="L517" s="2">
        <v>7.18</v>
      </c>
      <c r="M517" s="2">
        <v>6.8</v>
      </c>
      <c r="N517" s="1">
        <v>243.2</v>
      </c>
      <c r="O517" s="1">
        <v>243</v>
      </c>
      <c r="R517" s="40">
        <v>36.4</v>
      </c>
      <c r="S517" s="6">
        <v>-27</v>
      </c>
      <c r="T517" s="4" cm="1">
        <f t="array" ref="T517">_xlfn.IFS(L517&lt;=5,IF(ISNUMBER(X517)=TRUE,X517*1.79+AA517*1.8+Z517*5.56+50000*(10^-L517)-R517,1.79+AA517*1.8+Z517*5.56+50000*(10^-L517)-R517),L517&gt;5,IF(ISNUMBER(X517)=TRUE,X517*1.79+AA517*1.8+50000*(10^-L517)-R517,AA517*1.8+50000*(10^-L517)-R517))</f>
        <v>-34.696126532759962</v>
      </c>
      <c r="U517" s="6"/>
      <c r="V517" s="6"/>
      <c r="W517" s="8">
        <v>1.0840000000000001</v>
      </c>
      <c r="X517" s="8">
        <v>0.223</v>
      </c>
      <c r="Y517" s="8"/>
      <c r="Z517" s="8">
        <v>0.50600000000000001</v>
      </c>
      <c r="AA517" s="8">
        <v>0.72299999999999998</v>
      </c>
      <c r="AB517" s="40">
        <v>75.48</v>
      </c>
      <c r="AC517" s="8">
        <v>29.56</v>
      </c>
      <c r="AD517" s="8">
        <v>8.85</v>
      </c>
      <c r="AE517" s="8">
        <v>1.04</v>
      </c>
      <c r="AF517" s="8">
        <v>1.45</v>
      </c>
      <c r="AG517" s="8">
        <v>4</v>
      </c>
      <c r="AH517" s="6">
        <v>0.05</v>
      </c>
      <c r="AI517" s="41">
        <v>0.03</v>
      </c>
      <c r="AJ517" s="6">
        <v>0.2</v>
      </c>
      <c r="AK517" s="6"/>
      <c r="AL517" s="6"/>
      <c r="AN517" s="1">
        <f>S517*J517*0.012</f>
        <v>-8.7317999999999998</v>
      </c>
      <c r="AO517" s="1">
        <f>W517*J517*0.012</f>
        <v>0.35056560000000003</v>
      </c>
      <c r="AP517" s="1">
        <f>Z517*J517*0.012</f>
        <v>0.16364039999999999</v>
      </c>
      <c r="AQ517" s="1">
        <f>AA517*J517*0.012</f>
        <v>0.23381819999999998</v>
      </c>
      <c r="AR517" s="1">
        <f>AB517*J517*0.012</f>
        <v>24.410232000000001</v>
      </c>
      <c r="AS517" s="1">
        <f t="shared" si="260"/>
        <v>11.771759999999999</v>
      </c>
    </row>
    <row r="518" spans="1:48" x14ac:dyDescent="0.3">
      <c r="A518" s="5">
        <f>'Penn Run'!A63</f>
        <v>45352</v>
      </c>
      <c r="B518" s="5"/>
      <c r="C518" s="5" t="str">
        <f>'Penn Run'!C63</f>
        <v>MP13</v>
      </c>
      <c r="D518" s="5"/>
      <c r="E518" s="5" t="str">
        <f>'Penn Run'!E63</f>
        <v>MP13 from TMDL</v>
      </c>
      <c r="F518" s="5"/>
      <c r="G518" s="5"/>
      <c r="H518" s="5" t="str">
        <f>'Penn Run'!H63</f>
        <v>Hedin/ICCD</v>
      </c>
      <c r="J518" s="4">
        <f>IF(ISNUMBER('Penn Run'!J63),'Penn Run'!J63,"")</f>
        <v>372.66999999999996</v>
      </c>
      <c r="K518" s="4" t="str">
        <f>IF(ISNUMBER('Penn Run'!K63),'Penn Run'!K63,"")</f>
        <v/>
      </c>
      <c r="L518" s="2">
        <f>IF(ISNUMBER('Penn Run'!L63),'Penn Run'!L63,"")</f>
        <v>5.55</v>
      </c>
      <c r="M518" s="2">
        <f>IF(ISNUMBER('Penn Run'!M63),'Penn Run'!M63,"")</f>
        <v>6</v>
      </c>
      <c r="N518" s="4">
        <f>IF(ISNUMBER('Penn Run'!N63),'Penn Run'!N63,"")</f>
        <v>127</v>
      </c>
      <c r="O518" s="4" t="str">
        <f>IF(ISNUMBER('Penn Run'!O63),'Penn Run'!O63,"")</f>
        <v/>
      </c>
      <c r="P518" s="4">
        <f>IF(ISNUMBER('Penn Run'!P63),'Penn Run'!P63,"")</f>
        <v>6.2</v>
      </c>
      <c r="Q518" s="4" t="str">
        <f>IF(ISNUMBER('Penn Run'!Q63),'Penn Run'!Q63,"")</f>
        <v/>
      </c>
      <c r="R518" s="4">
        <f>IF(ISNUMBER('Penn Run'!R63),'Penn Run'!R63,"")</f>
        <v>10</v>
      </c>
      <c r="S518" s="4">
        <f>IF(ISNUMBER('Penn Run'!S63),'Penn Run'!S63,"")</f>
        <v>11</v>
      </c>
      <c r="T518" s="4">
        <f>IF(ISNUMBER('Penn Run'!T63),'Penn Run'!T63,"")</f>
        <v>-5.7885608534367776</v>
      </c>
      <c r="U518" s="4" t="str">
        <f>IF(ISNUMBER('Penn Run'!U63),'Penn Run'!U63,"")</f>
        <v/>
      </c>
      <c r="V518" s="4" t="str">
        <f>IF(ISNUMBER('Penn Run'!V63),'Penn Run'!V63,"")</f>
        <v/>
      </c>
      <c r="W518" s="3">
        <f>IF(ISNUMBER('Penn Run'!W63),'Penn Run'!W63,"")</f>
        <v>1.7709999999999999</v>
      </c>
      <c r="X518" s="3">
        <f>IF(ISNUMBER('Penn Run'!X63),'Penn Run'!X63,"")</f>
        <v>1.3680000000000001</v>
      </c>
      <c r="Z518" s="3">
        <f>IF(ISNUMBER('Penn Run'!Z63),'Penn Run'!Z63,"")</f>
        <v>0.61199999999999999</v>
      </c>
      <c r="AA518" s="3">
        <f>IF(ISNUMBER('Penn Run'!AA63),'Penn Run'!AA63,"")</f>
        <v>0.90100000000000002</v>
      </c>
      <c r="AB518" s="4">
        <f>IF(ISNUMBER('Penn Run'!AB63),'Penn Run'!AB63,"")</f>
        <v>51.8</v>
      </c>
      <c r="AC518" s="4" t="str">
        <f>IF(ISNUMBER('Penn Run'!AC63),'Penn Run'!AC63,"")</f>
        <v/>
      </c>
      <c r="AD518" s="4" t="str">
        <f>IF(ISNUMBER('Penn Run'!AD63),'Penn Run'!AD63,"")</f>
        <v/>
      </c>
      <c r="AE518" s="4" t="str">
        <f>IF(ISNUMBER('Penn Run'!AE63),'Penn Run'!AE63,"")</f>
        <v/>
      </c>
      <c r="AF518" s="4" t="str">
        <f>IF(ISNUMBER('Penn Run'!AF63),'Penn Run'!AF63,"")</f>
        <v/>
      </c>
      <c r="AG518" s="4" t="str">
        <f>IF(ISNUMBER('Penn Run'!AG63),'Penn Run'!AG63,"")</f>
        <v/>
      </c>
      <c r="AH518" s="4" t="str">
        <f>IF(ISNUMBER('Penn Run'!AH63),'Penn Run'!AH63,"")</f>
        <v/>
      </c>
      <c r="AI518" s="4" t="str">
        <f>IF(ISNUMBER('Penn Run'!AI63),'Penn Run'!AI63,"")</f>
        <v/>
      </c>
      <c r="AJ518" s="4" t="str">
        <f>IF(ISNUMBER('Penn Run'!AJ63),'Penn Run'!AJ63,"")</f>
        <v/>
      </c>
      <c r="AK518" s="4" t="str">
        <f>IF(ISNUMBER('Penn Run'!AK63),'Penn Run'!AK63,"")</f>
        <v/>
      </c>
      <c r="AL518" s="4">
        <f>IF(ISNUMBER('Penn Run'!AL63),'Penn Run'!AL63,"")</f>
        <v>94</v>
      </c>
      <c r="AM518" s="4" t="str">
        <f>IF(ISNUMBER('Penn Run'!AM63),'Penn Run'!AM63,"")</f>
        <v/>
      </c>
      <c r="AN518" s="4">
        <f>IF(ISNUMBER('Penn Run'!AN63),'Penn Run'!AN63,"")</f>
        <v>49.192439999999998</v>
      </c>
      <c r="AO518" s="4">
        <f>IF(ISNUMBER('Penn Run'!AO63),'Penn Run'!AO63,"")</f>
        <v>7.9199828399999985</v>
      </c>
      <c r="AP518" s="4">
        <f>IF(ISNUMBER('Penn Run'!AP63),'Penn Run'!AP63,"")</f>
        <v>2.7368884799999997</v>
      </c>
      <c r="AQ518" s="4">
        <f>IF(ISNUMBER('Penn Run'!AQ63),'Penn Run'!AQ63,"")</f>
        <v>4.0293080400000001</v>
      </c>
      <c r="AR518" s="4">
        <f>IF(ISNUMBER('Penn Run'!AR63),'Penn Run'!AR63,"")</f>
        <v>231.65167199999996</v>
      </c>
      <c r="AS518" s="1">
        <f t="shared" si="260"/>
        <v>44.720399999999991</v>
      </c>
    </row>
    <row r="520" spans="1:48" x14ac:dyDescent="0.3">
      <c r="A520" s="5">
        <v>45022</v>
      </c>
      <c r="B520" s="12" t="s">
        <v>24</v>
      </c>
      <c r="C520" t="s">
        <v>207</v>
      </c>
      <c r="E520" t="s">
        <v>260</v>
      </c>
      <c r="F520" s="11"/>
      <c r="G520" s="11"/>
      <c r="H520" t="s">
        <v>256</v>
      </c>
      <c r="J520" s="1">
        <v>157</v>
      </c>
      <c r="L520" s="2">
        <v>3.73</v>
      </c>
      <c r="M520" s="2">
        <v>4.3</v>
      </c>
      <c r="N520" s="1">
        <v>334</v>
      </c>
      <c r="O520" s="1">
        <v>328</v>
      </c>
      <c r="Q520" s="4">
        <v>0</v>
      </c>
      <c r="R520" s="4">
        <v>0</v>
      </c>
      <c r="S520" s="4">
        <v>13.4</v>
      </c>
      <c r="T520" s="4" cm="1">
        <f t="array" ref="T520">_xlfn.IFS(L520&lt;=5,IF(ISNUMBER(X520)=TRUE,X520*1.79+AA520*1.8+Z520*5.56+50000*(10^-L520)-R520,1.79+AA520*1.8+Z520*5.56+50000*(10^-L520)-R520),L520&gt;5,IF(ISNUMBER(X520)=TRUE,X520*1.79+AA520*1.8+50000*(10^-L520)-R520,AA520*1.8+50000*(10^-L520)-R520))</f>
        <v>16.778135683314339</v>
      </c>
      <c r="W520" s="3">
        <v>0.14000000000000001</v>
      </c>
      <c r="X520" s="3">
        <v>0.05</v>
      </c>
      <c r="Z520" s="3">
        <v>0.94499999999999995</v>
      </c>
      <c r="AA520" s="3">
        <v>1.18</v>
      </c>
      <c r="AB520" s="4">
        <v>141.87</v>
      </c>
      <c r="AC520" s="3">
        <v>25.3</v>
      </c>
      <c r="AD520" s="8">
        <v>17.2</v>
      </c>
      <c r="AE520" s="8">
        <v>0.91</v>
      </c>
      <c r="AF520" s="3">
        <v>1.56</v>
      </c>
      <c r="AG520" s="3">
        <v>4</v>
      </c>
      <c r="AH520" s="2">
        <v>5.3999999999999999E-2</v>
      </c>
      <c r="AI520" s="2">
        <v>9.6000000000000002E-2</v>
      </c>
      <c r="AJ520" s="3" t="s">
        <v>159</v>
      </c>
      <c r="AN520" s="1">
        <f>S520*J520*0.012</f>
        <v>25.245600000000003</v>
      </c>
      <c r="AO520" s="1">
        <f>W520*J520*0.012</f>
        <v>0.26375999999999999</v>
      </c>
      <c r="AP520" s="1">
        <f>Z520*J520*0.012</f>
        <v>1.7803799999999999</v>
      </c>
      <c r="AQ520" s="1">
        <f>AA520*J520*0.012</f>
        <v>2.2231199999999998</v>
      </c>
      <c r="AR520" s="1">
        <f>AB520*J520*0.012</f>
        <v>267.28307999999998</v>
      </c>
      <c r="AU520" s="13"/>
      <c r="AV520" s="13"/>
    </row>
    <row r="521" spans="1:48" x14ac:dyDescent="0.3">
      <c r="A521" s="5">
        <v>45098</v>
      </c>
      <c r="B521" s="12" t="s">
        <v>24</v>
      </c>
      <c r="C521" t="s">
        <v>207</v>
      </c>
      <c r="E521" t="s">
        <v>260</v>
      </c>
      <c r="F521" s="11"/>
      <c r="G521" s="11"/>
      <c r="H521" t="s">
        <v>256</v>
      </c>
      <c r="J521" s="1">
        <v>22.15</v>
      </c>
      <c r="K521" t="s">
        <v>96</v>
      </c>
      <c r="L521" s="2">
        <v>3.85</v>
      </c>
      <c r="M521" s="2">
        <v>4.0999999999999996</v>
      </c>
      <c r="N521" s="1">
        <v>503</v>
      </c>
      <c r="O521" s="1">
        <v>482</v>
      </c>
      <c r="R521" s="6">
        <v>0</v>
      </c>
      <c r="S521" s="40">
        <v>17.600000000000001</v>
      </c>
      <c r="T521" s="4" cm="1">
        <f t="array" ref="T521">_xlfn.IFS(L521&lt;=5,IF(ISNUMBER(X521)=TRUE,X521*1.79+AA521*1.8+Z521*5.56+50000*(10^-L521)-R521,1.79+AA521*1.8+Z521*5.56+50000*(10^-L521)-R521),L521&gt;5,IF(ISNUMBER(X521)=TRUE,X521*1.79+AA521*1.8+50000*(10^-L521)-R521,AA521*1.8+50000*(10^-L521)-R521))</f>
        <v>18.344267723113767</v>
      </c>
      <c r="U521" s="6"/>
      <c r="V521" s="6"/>
      <c r="W521" s="8">
        <v>0.1</v>
      </c>
      <c r="X521" s="8">
        <v>0.05</v>
      </c>
      <c r="Y521" s="8"/>
      <c r="Z521" s="8">
        <v>1.3480000000000001</v>
      </c>
      <c r="AA521" s="8">
        <v>2.0539999999999998</v>
      </c>
      <c r="AB521" s="40">
        <v>230.32</v>
      </c>
      <c r="AC521" s="8">
        <v>40.36</v>
      </c>
      <c r="AD521" s="6">
        <v>28.27</v>
      </c>
      <c r="AE521" s="8">
        <v>1.24</v>
      </c>
      <c r="AF521" s="8">
        <v>1.93</v>
      </c>
      <c r="AG521" s="8">
        <v>4</v>
      </c>
      <c r="AH521" s="6">
        <v>7.4999999999999997E-2</v>
      </c>
      <c r="AI521" s="41">
        <v>0.114</v>
      </c>
      <c r="AJ521" s="6">
        <v>0.2</v>
      </c>
      <c r="AK521" s="6"/>
      <c r="AL521" s="6"/>
      <c r="AN521" s="1">
        <f>S521*J521*0.012</f>
        <v>4.6780800000000005</v>
      </c>
      <c r="AO521" s="1">
        <f>W521*J521*0.012</f>
        <v>2.6579999999999999E-2</v>
      </c>
      <c r="AP521" s="1">
        <f>Z521*J521*0.012</f>
        <v>0.35829840000000002</v>
      </c>
      <c r="AQ521" s="1">
        <f>AA521*J521*0.012</f>
        <v>0.54595319999999992</v>
      </c>
      <c r="AR521" s="1">
        <f>AB521*J521*0.012</f>
        <v>61.219055999999995</v>
      </c>
      <c r="AU521" s="13"/>
      <c r="AV521" s="13"/>
    </row>
    <row r="522" spans="1:48" x14ac:dyDescent="0.3">
      <c r="A522" s="5">
        <v>45169</v>
      </c>
      <c r="B522" s="12" t="s">
        <v>24</v>
      </c>
      <c r="C522" t="s">
        <v>207</v>
      </c>
      <c r="E522" t="s">
        <v>260</v>
      </c>
      <c r="F522" s="11"/>
      <c r="G522" s="11"/>
      <c r="H522" t="s">
        <v>256</v>
      </c>
      <c r="J522" s="1">
        <v>67</v>
      </c>
      <c r="L522" s="17">
        <v>6.95</v>
      </c>
      <c r="M522" s="2">
        <v>6.3</v>
      </c>
      <c r="N522" s="14">
        <v>157</v>
      </c>
      <c r="O522" s="1">
        <v>152.4</v>
      </c>
      <c r="R522" s="4">
        <v>31.4</v>
      </c>
      <c r="S522" s="4">
        <v>-9.4</v>
      </c>
      <c r="T522" s="4" cm="1">
        <f t="array" ref="T522">_xlfn.IFS(L522&lt;=5,IF(ISNUMBER(X522)=TRUE,X522*1.79+AA522*1.8+Z522*5.56+50000*(10^-L522)-R522,1.79+AA522*1.8+Z522*5.56+50000*(10^-L522)-R522),L522&gt;5,IF(ISNUMBER(X522)=TRUE,X522*1.79+AA522*1.8+50000*(10^-L522)-R522,AA522*1.8+50000*(10^-L522)-R522))</f>
        <v>-30.813489907728489</v>
      </c>
      <c r="W522" s="3">
        <v>0.63600000000000001</v>
      </c>
      <c r="X522" s="3">
        <v>0.05</v>
      </c>
      <c r="Z522" s="3">
        <v>0.49299999999999999</v>
      </c>
      <c r="AA522" s="3">
        <v>0.27300000000000002</v>
      </c>
      <c r="AB522" s="4">
        <v>38.06</v>
      </c>
      <c r="AC522" s="3">
        <v>20.2</v>
      </c>
      <c r="AD522" s="6">
        <v>5.3</v>
      </c>
      <c r="AE522" s="8">
        <v>0.96</v>
      </c>
      <c r="AF522" s="8">
        <v>1.1499999999999999</v>
      </c>
      <c r="AG522" s="8">
        <v>4</v>
      </c>
      <c r="AH522" s="2">
        <v>0.05</v>
      </c>
      <c r="AI522" s="2">
        <v>0.03</v>
      </c>
      <c r="AJ522" s="6">
        <v>0.2</v>
      </c>
      <c r="AK522" s="6"/>
      <c r="AL522" s="6"/>
      <c r="AN522" s="1">
        <f>S522*J522*0.012</f>
        <v>-7.5576000000000008</v>
      </c>
      <c r="AO522" s="1">
        <f>W522*J522*0.012</f>
        <v>0.51134400000000002</v>
      </c>
      <c r="AP522" s="1">
        <f>Z522*J522*0.012</f>
        <v>0.396372</v>
      </c>
      <c r="AQ522" s="1">
        <f>AA522*J522*0.012</f>
        <v>0.21949200000000002</v>
      </c>
      <c r="AR522" s="1">
        <f>AB522*J522*0.012</f>
        <v>30.600239999999999</v>
      </c>
      <c r="AS522" s="1">
        <f t="shared" si="260"/>
        <v>25.2456</v>
      </c>
      <c r="AU522" s="13"/>
      <c r="AV522" s="13"/>
    </row>
    <row r="523" spans="1:48" x14ac:dyDescent="0.3">
      <c r="A523" s="5">
        <f>'Penn Run'!A45</f>
        <v>45352</v>
      </c>
      <c r="B523" s="5"/>
      <c r="C523" s="5" t="str">
        <f>'Penn Run'!C45</f>
        <v>MP14</v>
      </c>
      <c r="D523" s="5"/>
      <c r="E523" s="5" t="str">
        <f>'Penn Run'!E45</f>
        <v>MP 14 from TMDL</v>
      </c>
      <c r="F523" s="5"/>
      <c r="G523" s="5"/>
      <c r="H523" s="5" t="str">
        <f>'Penn Run'!H45</f>
        <v>Hedin and ICCD</v>
      </c>
      <c r="J523" s="4">
        <f>IF(ISNUMBER('Penn Run'!J45),'Penn Run'!J45,"")</f>
        <v>175.11</v>
      </c>
      <c r="K523" s="4" t="str">
        <f>IF(ISNUMBER('Penn Run'!K45),'Penn Run'!K45,"")</f>
        <v/>
      </c>
      <c r="L523" s="2">
        <f>IF(ISNUMBER('Penn Run'!L45),'Penn Run'!L45,"")</f>
        <v>4.49</v>
      </c>
      <c r="M523" s="2">
        <f>IF(ISNUMBER('Penn Run'!M45),'Penn Run'!M45,"")</f>
        <v>5.0999999999999996</v>
      </c>
      <c r="N523" s="4">
        <f>IF(ISNUMBER('Penn Run'!N45),'Penn Run'!N45,"")</f>
        <v>229</v>
      </c>
      <c r="O523" s="4" t="str">
        <f>IF(ISNUMBER('Penn Run'!O45),'Penn Run'!O45,"")</f>
        <v/>
      </c>
      <c r="P523" s="4">
        <f>IF(ISNUMBER('Penn Run'!P45),'Penn Run'!P45,"")</f>
        <v>4.8</v>
      </c>
      <c r="Q523" s="4" t="str">
        <f>IF(ISNUMBER('Penn Run'!Q45),'Penn Run'!Q45,"")</f>
        <v/>
      </c>
      <c r="R523" s="4">
        <f>IF(ISNUMBER('Penn Run'!R45),'Penn Run'!R45,"")</f>
        <v>6.6</v>
      </c>
      <c r="S523" s="4">
        <f>IF(ISNUMBER('Penn Run'!S45),'Penn Run'!S45,"")</f>
        <v>7.4</v>
      </c>
      <c r="T523" s="4">
        <f>IF(ISNUMBER('Penn Run'!T45),'Penn Run'!T45,"")</f>
        <v>1.1749782846481391</v>
      </c>
      <c r="U523" s="4" t="str">
        <f>IF(ISNUMBER('Penn Run'!U45),'Penn Run'!U45,"")</f>
        <v/>
      </c>
      <c r="V523" s="4" t="str">
        <f>IF(ISNUMBER('Penn Run'!V45),'Penn Run'!V45,"")</f>
        <v/>
      </c>
      <c r="W523" s="3">
        <f>IF(ISNUMBER('Penn Run'!W45),'Penn Run'!W45,"")</f>
        <v>0.46500000000000002</v>
      </c>
      <c r="X523" s="3">
        <f>IF(ISNUMBER('Penn Run'!X45),'Penn Run'!X45,"")</f>
        <v>9.5000000000000001E-2</v>
      </c>
      <c r="Z523" s="3">
        <f>IF(ISNUMBER('Penn Run'!Z45),'Penn Run'!Z45,"")</f>
        <v>0.76600000000000001</v>
      </c>
      <c r="AA523" s="3">
        <f>IF(ISNUMBER('Penn Run'!AA45),'Penn Run'!AA45,"")</f>
        <v>0.96</v>
      </c>
      <c r="AB523" s="4">
        <f>IF(ISNUMBER('Penn Run'!AB45),'Penn Run'!AB45,"")</f>
        <v>133.19999999999999</v>
      </c>
      <c r="AC523" s="4" t="str">
        <f>IF(ISNUMBER('Penn Run'!AC45),'Penn Run'!AC45,"")</f>
        <v/>
      </c>
      <c r="AD523" s="4" t="str">
        <f>IF(ISNUMBER('Penn Run'!AD45),'Penn Run'!AD45,"")</f>
        <v/>
      </c>
      <c r="AE523" s="4" t="str">
        <f>IF(ISNUMBER('Penn Run'!AE45),'Penn Run'!AE45,"")</f>
        <v/>
      </c>
      <c r="AF523" s="4" t="str">
        <f>IF(ISNUMBER('Penn Run'!AF45),'Penn Run'!AF45,"")</f>
        <v/>
      </c>
      <c r="AG523" s="4" t="str">
        <f>IF(ISNUMBER('Penn Run'!AG45),'Penn Run'!AG45,"")</f>
        <v/>
      </c>
      <c r="AH523" s="4" t="str">
        <f>IF(ISNUMBER('Penn Run'!AH45),'Penn Run'!AH45,"")</f>
        <v/>
      </c>
      <c r="AI523" s="4" t="str">
        <f>IF(ISNUMBER('Penn Run'!AI45),'Penn Run'!AI45,"")</f>
        <v/>
      </c>
      <c r="AJ523" s="4" t="str">
        <f>IF(ISNUMBER('Penn Run'!AJ45),'Penn Run'!AJ45,"")</f>
        <v/>
      </c>
      <c r="AK523" s="4" t="str">
        <f>IF(ISNUMBER('Penn Run'!AK45),'Penn Run'!AK45,"")</f>
        <v/>
      </c>
      <c r="AL523" s="4">
        <f>IF(ISNUMBER('Penn Run'!AL45),'Penn Run'!AL45,"")</f>
        <v>180</v>
      </c>
      <c r="AM523" s="4" t="str">
        <f>IF(ISNUMBER('Penn Run'!AM45),'Penn Run'!AM45,"")</f>
        <v/>
      </c>
      <c r="AN523" s="4">
        <f>IF(ISNUMBER('Penn Run'!AN45),'Penn Run'!AN45,"")</f>
        <v>15.549768000000002</v>
      </c>
      <c r="AO523" s="4">
        <f>IF(ISNUMBER('Penn Run'!AO45),'Penn Run'!AO45,"")</f>
        <v>0.97711380000000014</v>
      </c>
      <c r="AP523" s="4">
        <f>IF(ISNUMBER('Penn Run'!AP45),'Penn Run'!AP45,"")</f>
        <v>1.6096111200000003</v>
      </c>
      <c r="AQ523" s="4">
        <f>IF(ISNUMBER('Penn Run'!AQ45),'Penn Run'!AQ45,"")</f>
        <v>2.0172672</v>
      </c>
      <c r="AR523" s="4">
        <f>IF(ISNUMBER('Penn Run'!AR45),'Penn Run'!AR45,"")</f>
        <v>279.895824</v>
      </c>
      <c r="AS523" s="1">
        <f t="shared" si="260"/>
        <v>13.868712</v>
      </c>
      <c r="AU523" s="13"/>
      <c r="AV523" s="13"/>
    </row>
    <row r="524" spans="1:48" x14ac:dyDescent="0.3">
      <c r="F524" s="11"/>
      <c r="G524" s="11"/>
      <c r="AD524" s="8"/>
      <c r="AE524" s="8"/>
      <c r="AU524" s="13"/>
      <c r="AV524" s="13"/>
    </row>
    <row r="525" spans="1:48" x14ac:dyDescent="0.3">
      <c r="A525" s="5">
        <v>45022</v>
      </c>
      <c r="B525" s="12" t="s">
        <v>22</v>
      </c>
      <c r="C525" t="s">
        <v>257</v>
      </c>
      <c r="E525" t="s">
        <v>261</v>
      </c>
      <c r="H525" t="s">
        <v>256</v>
      </c>
      <c r="J525" s="1">
        <v>216</v>
      </c>
      <c r="L525" s="2">
        <v>6.99</v>
      </c>
      <c r="M525" s="2">
        <v>6</v>
      </c>
      <c r="N525" s="1">
        <v>116</v>
      </c>
      <c r="O525" s="1">
        <v>119</v>
      </c>
      <c r="Q525" s="4">
        <v>20</v>
      </c>
      <c r="R525" s="4">
        <v>8.6</v>
      </c>
      <c r="S525" s="4">
        <v>1.8</v>
      </c>
      <c r="T525" s="4" cm="1">
        <f t="array" ref="T525">_xlfn.IFS(L525&lt;=5,IF(ISNUMBER(X525)=TRUE,X525*1.79+AA525*1.8+Z525*5.56+50000*(10^-L525)-Q525,1.79+AA525*1.8+Z525*5.56+50000*(10^-L525)-Q525),L525&gt;5,IF(ISNUMBER(X525)=TRUE,X525*1.79+AA525*1.8+50000*(10^-L525)-Q525,AA525*1.8+50000*(10^-L525)-Q525))</f>
        <v>-19.817183535038595</v>
      </c>
      <c r="W525" s="3">
        <v>0.52500000000000002</v>
      </c>
      <c r="X525" s="3">
        <v>0.05</v>
      </c>
      <c r="Z525" s="3">
        <v>0.3</v>
      </c>
      <c r="AA525" s="3">
        <v>4.9000000000000002E-2</v>
      </c>
      <c r="AB525" s="4">
        <v>38.979999999999997</v>
      </c>
      <c r="AC525" s="3">
        <v>12.9</v>
      </c>
      <c r="AD525" s="3">
        <v>3.84</v>
      </c>
      <c r="AE525" s="3">
        <v>1.1100000000000001</v>
      </c>
      <c r="AF525" s="3">
        <v>1.01</v>
      </c>
      <c r="AG525" s="3">
        <v>4</v>
      </c>
      <c r="AH525" s="2" t="s">
        <v>161</v>
      </c>
      <c r="AI525" s="2" t="s">
        <v>162</v>
      </c>
      <c r="AJ525" s="3" t="s">
        <v>159</v>
      </c>
      <c r="AN525" s="1">
        <f>S525*J525*0.012</f>
        <v>4.6656000000000004</v>
      </c>
      <c r="AO525" s="1">
        <f>W525*J525*0.012</f>
        <v>1.3608</v>
      </c>
      <c r="AP525" s="1">
        <f>Z525*J525*0.012</f>
        <v>0.77759999999999996</v>
      </c>
      <c r="AQ525" s="1">
        <f>AA525*J525*0.012</f>
        <v>0.12700800000000001</v>
      </c>
      <c r="AR525" s="1">
        <f>AB525*J525*0.012</f>
        <v>101.03615999999998</v>
      </c>
      <c r="AS525" s="1">
        <f t="shared" si="260"/>
        <v>22.2912</v>
      </c>
    </row>
    <row r="526" spans="1:48" x14ac:dyDescent="0.3">
      <c r="A526" s="5">
        <v>45098</v>
      </c>
      <c r="B526" s="12" t="s">
        <v>22</v>
      </c>
      <c r="C526" t="s">
        <v>257</v>
      </c>
      <c r="E526" t="s">
        <v>261</v>
      </c>
      <c r="F526" s="11"/>
      <c r="G526" s="11"/>
      <c r="H526" t="s">
        <v>256</v>
      </c>
      <c r="J526" s="1">
        <v>23.78</v>
      </c>
      <c r="K526" t="s">
        <v>96</v>
      </c>
      <c r="L526" s="2">
        <v>7.45</v>
      </c>
      <c r="M526" s="2">
        <v>6.4</v>
      </c>
      <c r="N526" s="1">
        <v>219.7</v>
      </c>
      <c r="O526" s="1">
        <v>219</v>
      </c>
      <c r="R526" s="40">
        <v>11.4</v>
      </c>
      <c r="S526" s="40">
        <v>-8.1999999999999993</v>
      </c>
      <c r="T526" s="4" cm="1">
        <f t="array" ref="T526">_xlfn.IFS(L526&lt;=5,IF(ISNUMBER(X526)=TRUE,X526*1.79+AA526*1.8+Z526*5.56+50000*(10^-L526)-R526,1.79+AA526*1.8+Z526*5.56+50000*(10^-L526)-R526),L526&gt;5,IF(ISNUMBER(X526)=TRUE,X526*1.79+AA526*1.8+50000*(10^-L526)-R526,AA526*1.8+50000*(10^-L526)-R526))</f>
        <v>-11.247525933053833</v>
      </c>
      <c r="U526" s="6"/>
      <c r="V526" s="6"/>
      <c r="W526" s="8">
        <v>0.40799999999999997</v>
      </c>
      <c r="X526" s="8">
        <v>0.05</v>
      </c>
      <c r="Y526" s="8"/>
      <c r="Z526" s="8">
        <v>0.3</v>
      </c>
      <c r="AA526" s="8">
        <v>3.4000000000000002E-2</v>
      </c>
      <c r="AB526" s="40">
        <v>83.81</v>
      </c>
      <c r="AC526" s="8">
        <v>24.51</v>
      </c>
      <c r="AD526" s="8">
        <v>7.77</v>
      </c>
      <c r="AE526" s="8">
        <v>1.99</v>
      </c>
      <c r="AF526" s="8">
        <v>1.57</v>
      </c>
      <c r="AG526" s="8">
        <v>4</v>
      </c>
      <c r="AH526" s="6">
        <v>0.05</v>
      </c>
      <c r="AI526" s="41">
        <v>0.03</v>
      </c>
      <c r="AJ526" s="6">
        <v>0.2</v>
      </c>
      <c r="AK526" s="6"/>
      <c r="AL526" s="6"/>
      <c r="AN526" s="1">
        <f>S526*J526*0.012</f>
        <v>-2.3399519999999998</v>
      </c>
      <c r="AO526" s="1">
        <f>W526*J526*0.012</f>
        <v>0.11642688</v>
      </c>
      <c r="AP526" s="1">
        <f>Z526*J526*0.012</f>
        <v>8.5608000000000004E-2</v>
      </c>
      <c r="AQ526" s="1">
        <f>AA526*J526*0.012</f>
        <v>9.7022400000000026E-3</v>
      </c>
      <c r="AR526" s="1">
        <f>AB526*J526*0.012</f>
        <v>23.916021600000004</v>
      </c>
      <c r="AS526" s="1">
        <f t="shared" si="260"/>
        <v>3.2531040000000004</v>
      </c>
      <c r="AU526" s="13"/>
      <c r="AV526" s="13"/>
    </row>
    <row r="527" spans="1:48" x14ac:dyDescent="0.3">
      <c r="A527" s="5">
        <v>45169</v>
      </c>
      <c r="B527" s="12" t="s">
        <v>22</v>
      </c>
      <c r="C527" t="s">
        <v>257</v>
      </c>
      <c r="E527" t="s">
        <v>261</v>
      </c>
      <c r="H527" t="s">
        <v>256</v>
      </c>
      <c r="J527" s="1">
        <v>25</v>
      </c>
      <c r="K527" t="s">
        <v>96</v>
      </c>
      <c r="L527" s="2">
        <v>7.16</v>
      </c>
      <c r="M527" s="2">
        <v>6.1</v>
      </c>
      <c r="N527" s="1">
        <v>163</v>
      </c>
      <c r="O527" s="1">
        <v>159.19999999999999</v>
      </c>
      <c r="R527" s="4">
        <v>15.6</v>
      </c>
      <c r="S527" s="4">
        <v>0.6</v>
      </c>
      <c r="T527" s="4" cm="1">
        <f t="array" ref="T527">_xlfn.IFS(L527&lt;=5,IF(ISNUMBER(X527)=TRUE,X527*1.79+AA527*1.8+Z527*5.56+50000*(10^-L527)-R527,1.79+AA527*1.8+Z527*5.56+50000*(10^-L527)-R527),L527&gt;5,IF(ISNUMBER(X527)=TRUE,X527*1.79+AA527*1.8+50000*(10^-L527)-R527,AA527*1.8+50000*(10^-L527)-R527))</f>
        <v>-15.449440845145405</v>
      </c>
      <c r="W527" s="3">
        <v>0.41199999999999998</v>
      </c>
      <c r="X527" s="3">
        <v>0.05</v>
      </c>
      <c r="Z527" s="3">
        <v>0.3</v>
      </c>
      <c r="AA527" s="3">
        <v>3.2000000000000001E-2</v>
      </c>
      <c r="AB527" s="4">
        <v>54.94</v>
      </c>
      <c r="AC527" s="6">
        <v>18.399999999999999</v>
      </c>
      <c r="AD527" s="6">
        <v>5.43</v>
      </c>
      <c r="AE527" s="8">
        <v>1.51</v>
      </c>
      <c r="AF527" s="8">
        <v>1.18</v>
      </c>
      <c r="AG527" s="8">
        <v>4</v>
      </c>
      <c r="AH527" s="6">
        <v>0.05</v>
      </c>
      <c r="AI527" s="41">
        <v>0.03</v>
      </c>
      <c r="AJ527" s="6">
        <v>0.2</v>
      </c>
      <c r="AK527" s="6"/>
      <c r="AL527" s="6"/>
      <c r="AN527" s="1">
        <f>S527*J527*0.012</f>
        <v>0.18</v>
      </c>
      <c r="AO527" s="1">
        <f>W527*J527*0.012</f>
        <v>0.12359999999999999</v>
      </c>
      <c r="AP527" s="1">
        <f>Z527*J527*0.012</f>
        <v>0.09</v>
      </c>
      <c r="AQ527" s="1">
        <f>AA527*J527*0.012</f>
        <v>9.6000000000000009E-3</v>
      </c>
      <c r="AR527" s="1">
        <f>AB527*J527*0.012</f>
        <v>16.481999999999999</v>
      </c>
      <c r="AS527" s="1">
        <f t="shared" si="260"/>
        <v>4.68</v>
      </c>
    </row>
    <row r="528" spans="1:48" x14ac:dyDescent="0.3">
      <c r="F528" s="11"/>
      <c r="G528" s="11"/>
      <c r="AD528" s="8"/>
      <c r="AE528" s="8"/>
      <c r="AU528" s="13"/>
      <c r="AV528" s="13"/>
    </row>
    <row r="529" spans="1:48" x14ac:dyDescent="0.3">
      <c r="A529" s="5">
        <v>44845</v>
      </c>
      <c r="B529" s="12" t="s">
        <v>85</v>
      </c>
      <c r="C529" t="s">
        <v>87</v>
      </c>
      <c r="E529" t="s">
        <v>88</v>
      </c>
      <c r="F529">
        <v>40.704990000000002</v>
      </c>
      <c r="G529">
        <v>-79.007741999999993</v>
      </c>
      <c r="H529" t="s">
        <v>92</v>
      </c>
      <c r="J529" s="1" t="s">
        <v>102</v>
      </c>
      <c r="L529" s="2">
        <v>7.11</v>
      </c>
      <c r="M529" s="2">
        <v>7.3</v>
      </c>
      <c r="N529" s="1">
        <v>484</v>
      </c>
      <c r="O529" s="1">
        <v>487</v>
      </c>
      <c r="P529" s="3">
        <v>9.1</v>
      </c>
      <c r="Q529" s="4">
        <v>88</v>
      </c>
      <c r="R529" s="4">
        <v>85.6</v>
      </c>
      <c r="S529" s="4">
        <v>-73.8</v>
      </c>
      <c r="T529" s="4" cm="1">
        <f t="array" ref="T529">_xlfn.IFS(L529&lt;=5,IF(ISNUMBER(X529)=TRUE,X529*1.79+AA529*1.8+Z529*5.56+50000*(10^-L529)-Q529,1.79+AA529*1.8+Z529*5.56+50000*(10^-L529)-Q529),L529&gt;5,IF(ISNUMBER(X529)=TRUE,X529*1.79+AA529*1.8+50000*(10^-L529)-Q529,AA529*1.8+50000*(10^-L529)-Q529))</f>
        <v>-84.98416876441685</v>
      </c>
      <c r="U529" s="2">
        <v>9.02</v>
      </c>
      <c r="V529" s="2">
        <v>78.2</v>
      </c>
      <c r="W529" s="3">
        <v>2.573</v>
      </c>
      <c r="X529" s="3">
        <v>1.385</v>
      </c>
      <c r="Z529" s="3">
        <v>0.82799999999999996</v>
      </c>
      <c r="AA529" s="3">
        <v>0.29599999999999999</v>
      </c>
      <c r="AB529" s="4">
        <v>158.47</v>
      </c>
      <c r="AC529" s="3">
        <v>61.47</v>
      </c>
      <c r="AD529" s="8">
        <v>19.45</v>
      </c>
      <c r="AE529" s="8">
        <v>8.06</v>
      </c>
      <c r="AF529" s="3">
        <v>1.98</v>
      </c>
      <c r="AG529" s="3">
        <v>7.8</v>
      </c>
      <c r="AH529" s="2" t="s">
        <v>161</v>
      </c>
      <c r="AI529" s="2" t="s">
        <v>162</v>
      </c>
      <c r="AJ529" s="3" t="s">
        <v>159</v>
      </c>
      <c r="AU529" s="13" t="str">
        <f>CONCATENATE(TEXT(ROUNDDOWN(ABS(F529),0),"00"),"° ",TEXT(ROUNDDOWN(ABS((F529-ROUNDDOWN(F529,0))*60),0),"00"),"' ",TEXT(TRUNC((ABS((F529-ROUNDDOWN(F529,0))*60)-ROUNDDOWN(ABS((F529-ROUNDDOWN(F529,0))*60),0))*60,2),"00.00"),"""",IF(F529&lt;0," S"," N"))</f>
        <v>40° 42' 17.96" N</v>
      </c>
      <c r="AV529" s="13" t="str">
        <f>CONCATENATE(TEXT(ROUNDDOWN(ABS(G529),0),"000"),"° ",TEXT(ROUNDDOWN(ABS((G529-ROUNDDOWN(G529,0))*60),0),"00"),"' ",TEXT(TRUNC((ABS((G529-ROUNDDOWN(G529,0))*60)-ROUNDDOWN(ABS((G529-ROUNDDOWN(G529,0))*60),0))*60,2),"00.00"),"""",IF(G529&lt;0," W"," E"))</f>
        <v>079° 00' 27.87" W</v>
      </c>
    </row>
    <row r="530" spans="1:48" x14ac:dyDescent="0.3">
      <c r="A530" s="5">
        <v>44903</v>
      </c>
      <c r="B530" s="12" t="s">
        <v>85</v>
      </c>
      <c r="C530" t="s">
        <v>87</v>
      </c>
      <c r="E530" t="s">
        <v>88</v>
      </c>
      <c r="F530">
        <v>40.704990000000002</v>
      </c>
      <c r="G530">
        <v>-79.007741999999993</v>
      </c>
      <c r="H530" t="s">
        <v>92</v>
      </c>
      <c r="J530" s="1" t="s">
        <v>102</v>
      </c>
      <c r="L530" s="2">
        <v>7.28</v>
      </c>
      <c r="M530" s="2">
        <v>7.3</v>
      </c>
      <c r="N530" s="1">
        <v>321.8</v>
      </c>
      <c r="O530" s="1">
        <v>239</v>
      </c>
      <c r="P530" s="3">
        <v>7.9</v>
      </c>
      <c r="Q530" s="4">
        <v>57.5</v>
      </c>
      <c r="R530" s="4">
        <v>66.2</v>
      </c>
      <c r="S530" s="4">
        <v>-52.2</v>
      </c>
      <c r="T530" s="4" cm="1">
        <f t="array" ref="T530">_xlfn.IFS(L530&lt;=5,IF(ISNUMBER(X530)=TRUE,X530*1.79+AA530*1.8+Z530*5.56+50000*(10^-L530)-Q530,1.79+AA530*1.8+Z530*5.56+50000*(10^-L530)-Q530),L530&gt;5,IF(ISNUMBER(X530)=TRUE,X530*1.79+AA530*1.8+50000*(10^-L530)-Q530,AA530*1.8+50000*(10^-L530)-Q530))</f>
        <v>-56.29479596269875</v>
      </c>
      <c r="U530" s="2">
        <v>10.8</v>
      </c>
      <c r="V530" s="2">
        <v>90.9</v>
      </c>
      <c r="W530" s="3">
        <v>1.651</v>
      </c>
      <c r="X530" s="3">
        <v>0.52200000000000002</v>
      </c>
      <c r="Z530" s="3">
        <v>0.56799999999999995</v>
      </c>
      <c r="AA530" s="3">
        <v>0.14899999999999999</v>
      </c>
      <c r="AC530" s="3">
        <v>39.83</v>
      </c>
      <c r="AD530" s="8">
        <v>12.41</v>
      </c>
      <c r="AE530" s="8">
        <v>5.86</v>
      </c>
      <c r="AF530" s="3">
        <v>1.73</v>
      </c>
      <c r="AG530" s="3">
        <v>6.1</v>
      </c>
      <c r="AH530" s="2" t="s">
        <v>161</v>
      </c>
      <c r="AI530" s="2" t="s">
        <v>162</v>
      </c>
      <c r="AJ530" s="3" t="s">
        <v>159</v>
      </c>
      <c r="AU530" s="13"/>
      <c r="AV530" s="13"/>
    </row>
    <row r="531" spans="1:48" x14ac:dyDescent="0.3">
      <c r="A531" s="5">
        <v>44964</v>
      </c>
      <c r="B531" s="12" t="s">
        <v>85</v>
      </c>
      <c r="C531" t="s">
        <v>87</v>
      </c>
      <c r="E531" t="s">
        <v>88</v>
      </c>
      <c r="F531">
        <v>40.704990000000002</v>
      </c>
      <c r="G531">
        <v>-79.007741999999993</v>
      </c>
      <c r="H531" t="s">
        <v>218</v>
      </c>
      <c r="J531" s="1">
        <v>3942</v>
      </c>
      <c r="K531" t="s">
        <v>96</v>
      </c>
      <c r="L531" s="2">
        <v>6.95</v>
      </c>
      <c r="M531" s="2">
        <v>7.1</v>
      </c>
      <c r="N531" s="1">
        <v>368</v>
      </c>
      <c r="O531" s="1">
        <v>374</v>
      </c>
      <c r="Q531" s="4">
        <v>59</v>
      </c>
      <c r="R531" s="4">
        <v>66</v>
      </c>
      <c r="S531" s="4">
        <v>-50.2</v>
      </c>
      <c r="T531" s="4" cm="1">
        <f t="array" ref="T531">_xlfn.IFS(L531&lt;=5,IF(ISNUMBER(X531)=TRUE,X531*1.79+AA531*1.8+Z531*5.56+50000*(10^-L531)-Q531,1.79+AA531*1.8+Z531*5.56+50000*(10^-L531)-Q531),L531&gt;5,IF(ISNUMBER(X531)=TRUE,X531*1.79+AA531*1.8+50000*(10^-L531)-Q531,AA531*1.8+50000*(10^-L531)-Q531))</f>
        <v>-57.766469907728492</v>
      </c>
      <c r="W531" s="3">
        <v>1.86</v>
      </c>
      <c r="X531" s="3">
        <v>0.50800000000000001</v>
      </c>
      <c r="Z531" s="3">
        <v>0.56100000000000005</v>
      </c>
      <c r="AA531" s="3">
        <v>0.17699999999999999</v>
      </c>
      <c r="AB531" s="4">
        <v>109.82</v>
      </c>
      <c r="AC531" s="3">
        <v>44.5</v>
      </c>
      <c r="AD531" s="8">
        <v>14.23</v>
      </c>
      <c r="AE531" s="8">
        <v>5.49</v>
      </c>
      <c r="AF531" s="3">
        <v>1.49</v>
      </c>
      <c r="AG531" s="3">
        <v>6</v>
      </c>
      <c r="AH531" s="2" t="s">
        <v>161</v>
      </c>
      <c r="AI531" s="2" t="s">
        <v>162</v>
      </c>
      <c r="AJ531" s="3" t="s">
        <v>159</v>
      </c>
      <c r="AN531" s="1">
        <f>S531*J531*0.012</f>
        <v>-2374.6608000000001</v>
      </c>
      <c r="AO531" s="1">
        <f>W531*J531*0.012</f>
        <v>87.985440000000011</v>
      </c>
      <c r="AP531" s="1">
        <f>Z531*J531*0.012</f>
        <v>26.537544</v>
      </c>
      <c r="AQ531" s="1">
        <f>AA531*J531*0.012</f>
        <v>8.3728079999999991</v>
      </c>
      <c r="AR531" s="1">
        <f>AB531*J531*0.012</f>
        <v>5194.9252799999995</v>
      </c>
      <c r="AS531" s="1">
        <f t="shared" si="260"/>
        <v>3122.0640000000003</v>
      </c>
      <c r="AU531" s="13"/>
      <c r="AV531" s="13"/>
    </row>
    <row r="532" spans="1:48" x14ac:dyDescent="0.3">
      <c r="A532" s="5">
        <v>45169</v>
      </c>
      <c r="B532" s="12" t="s">
        <v>86</v>
      </c>
      <c r="E532" t="s">
        <v>88</v>
      </c>
      <c r="F532">
        <v>40.704990000000002</v>
      </c>
      <c r="G532">
        <v>-79.007741999999993</v>
      </c>
      <c r="H532" t="s">
        <v>299</v>
      </c>
      <c r="J532" s="1">
        <v>3186.9</v>
      </c>
      <c r="K532" t="s">
        <v>96</v>
      </c>
      <c r="L532" s="2">
        <v>7.3</v>
      </c>
      <c r="M532" s="2">
        <v>7.1</v>
      </c>
      <c r="N532" s="1">
        <v>326</v>
      </c>
      <c r="O532" s="6">
        <v>364</v>
      </c>
      <c r="R532" s="4">
        <v>75.2</v>
      </c>
      <c r="S532" s="4">
        <v>-66.400000000000006</v>
      </c>
      <c r="T532" s="4" cm="1">
        <f t="array" ref="T532">_xlfn.IFS(L532&lt;=5,IF(ISNUMBER(X532)=TRUE,X532*1.79+AA532*1.8+Z532*5.56+50000*(10^-L532)-R532,1.79+AA532*1.8+Z532*5.56+50000*(10^-L532)-R532),L532&gt;5,IF(ISNUMBER(X532)=TRUE,X532*1.79+AA532*1.8+50000*(10^-L532)-R532,AA532*1.8+50000*(10^-L532)-R532))</f>
        <v>-74.744584063831866</v>
      </c>
      <c r="W532" s="3">
        <v>1.87</v>
      </c>
      <c r="X532" s="3">
        <v>6.9000000000000006E-2</v>
      </c>
      <c r="Z532" s="3">
        <v>0.61</v>
      </c>
      <c r="AA532" s="3">
        <v>0.183</v>
      </c>
      <c r="AB532" s="4">
        <v>100.92</v>
      </c>
      <c r="AC532" s="3">
        <v>47.4</v>
      </c>
      <c r="AD532" s="6">
        <v>14.4</v>
      </c>
      <c r="AE532" s="8">
        <v>5.46</v>
      </c>
      <c r="AF532" s="8">
        <v>1.76</v>
      </c>
      <c r="AG532" s="6">
        <v>4.8</v>
      </c>
      <c r="AH532" s="2" t="s">
        <v>161</v>
      </c>
      <c r="AI532" s="2" t="s">
        <v>162</v>
      </c>
      <c r="AJ532" s="3" t="s">
        <v>159</v>
      </c>
      <c r="AN532" s="1">
        <f>S532*J532*0.012</f>
        <v>-2539.3219200000003</v>
      </c>
      <c r="AO532" s="1">
        <f>W532*J532*0.012</f>
        <v>71.514036000000004</v>
      </c>
      <c r="AP532" s="1">
        <f>Z532*J532*0.012</f>
        <v>23.328108</v>
      </c>
      <c r="AQ532" s="1">
        <f>AA532*J532*0.012</f>
        <v>6.9984324000000004</v>
      </c>
      <c r="AR532" s="1">
        <f>AB532*J532*0.012</f>
        <v>3859.4633760000006</v>
      </c>
      <c r="AS532" s="1">
        <f t="shared" si="260"/>
        <v>2875.8585600000006</v>
      </c>
      <c r="AU532" s="13"/>
      <c r="AV532" s="13"/>
    </row>
    <row r="533" spans="1:48" x14ac:dyDescent="0.3">
      <c r="AD533" s="8"/>
      <c r="AE533" s="8"/>
      <c r="AU533" s="13"/>
      <c r="AV533" s="13"/>
    </row>
    <row r="534" spans="1:48" x14ac:dyDescent="0.3">
      <c r="A534" s="5">
        <v>45022</v>
      </c>
      <c r="B534" s="12" t="s">
        <v>150</v>
      </c>
      <c r="C534" t="s">
        <v>410</v>
      </c>
      <c r="E534" t="s">
        <v>253</v>
      </c>
      <c r="F534" s="11"/>
      <c r="G534" s="11"/>
      <c r="H534" t="s">
        <v>218</v>
      </c>
      <c r="J534" s="1" t="s">
        <v>254</v>
      </c>
      <c r="L534" s="2">
        <v>2.33</v>
      </c>
      <c r="M534" s="2">
        <v>2.2000000000000002</v>
      </c>
      <c r="N534" s="1" t="s">
        <v>255</v>
      </c>
      <c r="O534" s="1">
        <v>6620</v>
      </c>
      <c r="Q534" s="4">
        <v>0</v>
      </c>
      <c r="R534" s="4">
        <v>0</v>
      </c>
      <c r="S534" s="4">
        <v>7664.6</v>
      </c>
      <c r="W534" s="3">
        <v>1899</v>
      </c>
      <c r="X534" s="3">
        <v>0</v>
      </c>
      <c r="Z534" s="3">
        <v>499</v>
      </c>
      <c r="AA534" s="3">
        <v>22.7</v>
      </c>
      <c r="AB534" s="4">
        <v>8779.35</v>
      </c>
      <c r="AC534" s="3">
        <v>235</v>
      </c>
      <c r="AD534" s="8">
        <v>134</v>
      </c>
      <c r="AE534" s="8">
        <v>3.44</v>
      </c>
      <c r="AF534" s="3">
        <v>1</v>
      </c>
      <c r="AG534" s="3">
        <v>4</v>
      </c>
      <c r="AH534" s="2">
        <v>1.18</v>
      </c>
      <c r="AI534" s="2">
        <v>3.44</v>
      </c>
      <c r="AJ534" s="3" t="s">
        <v>159</v>
      </c>
    </row>
    <row r="535" spans="1:48" x14ac:dyDescent="0.3">
      <c r="A535" s="5">
        <v>45169</v>
      </c>
      <c r="B535" s="12" t="s">
        <v>302</v>
      </c>
      <c r="C535" t="s">
        <v>410</v>
      </c>
      <c r="E535" t="s">
        <v>303</v>
      </c>
      <c r="F535" s="42">
        <v>40.708447999999997</v>
      </c>
      <c r="G535" s="42">
        <v>-79.008510999999999</v>
      </c>
      <c r="H535" t="s">
        <v>299</v>
      </c>
      <c r="L535" s="2">
        <v>2.4300000000000002</v>
      </c>
      <c r="M535" s="2">
        <v>2.2000000000000002</v>
      </c>
      <c r="N535" s="39" t="s">
        <v>255</v>
      </c>
      <c r="O535" s="6">
        <v>6580</v>
      </c>
      <c r="R535" s="6">
        <v>0</v>
      </c>
      <c r="S535" s="40">
        <v>7066.6</v>
      </c>
      <c r="T535" s="4">
        <f>(X535*1.79+Y535*2.68+5.56*Z535+1.82*AA535+50000*(10^-L535)-R535)</f>
        <v>7607.1568445485855</v>
      </c>
      <c r="W535" s="3">
        <v>1810</v>
      </c>
      <c r="X535" s="3">
        <v>298.09300000000002</v>
      </c>
      <c r="Y535" s="4">
        <f t="shared" ref="Y535" si="432">IF(W535-X535&lt;0,0,W535-X535)</f>
        <v>1511.9069999999999</v>
      </c>
      <c r="Z535" s="3">
        <v>502</v>
      </c>
      <c r="AA535" s="3">
        <v>24.6</v>
      </c>
      <c r="AB535" s="4">
        <v>8477.1</v>
      </c>
      <c r="AC535" s="6">
        <v>221</v>
      </c>
      <c r="AD535" s="6">
        <v>136</v>
      </c>
      <c r="AE535" s="6">
        <v>3.6</v>
      </c>
      <c r="AF535" s="8">
        <v>1</v>
      </c>
      <c r="AG535" s="8">
        <v>4</v>
      </c>
      <c r="AH535" s="2">
        <v>1.19</v>
      </c>
      <c r="AI535" s="2">
        <v>3.3</v>
      </c>
      <c r="AJ535" s="3">
        <v>0.2</v>
      </c>
      <c r="AU535" s="13"/>
      <c r="AV535" s="13"/>
    </row>
    <row r="536" spans="1:48" x14ac:dyDescent="0.3">
      <c r="AD536" s="8"/>
      <c r="AE536" s="8"/>
      <c r="AU536" s="13"/>
      <c r="AV536" s="13"/>
    </row>
    <row r="537" spans="1:48" x14ac:dyDescent="0.3">
      <c r="A537" s="5">
        <v>45098</v>
      </c>
      <c r="B537" s="12" t="s">
        <v>293</v>
      </c>
      <c r="E537" t="s">
        <v>294</v>
      </c>
      <c r="F537" s="42">
        <v>40.708447999999997</v>
      </c>
      <c r="G537" s="42">
        <v>-79.008510999999999</v>
      </c>
      <c r="H537" t="s">
        <v>276</v>
      </c>
      <c r="L537" s="2">
        <v>4.4000000000000004</v>
      </c>
      <c r="N537" s="4">
        <v>1304</v>
      </c>
      <c r="R537" s="4">
        <v>46.4</v>
      </c>
      <c r="S537" s="4">
        <v>-27.2</v>
      </c>
      <c r="T537" s="4" cm="1">
        <f t="array" ref="T537">_xlfn.IFS(L537&lt;=5,IF(ISNUMBER(X537)=TRUE,X537*1.79+AA537*1.8+Z537*5.56+50000*(10^-L537)-R537,1.79+AA537*1.8+Z537*5.56+50000*(10^-L537)-R537),L537&gt;5,IF(ISNUMBER(X537)=TRUE,X537*1.79+AA537*1.8+50000*(10^-L537)-R537,AA537*1.8+50000*(10^-L537)-R537))</f>
        <v>-39.645404147232519</v>
      </c>
      <c r="W537" s="3">
        <v>1.319</v>
      </c>
      <c r="X537" s="3">
        <v>1.202</v>
      </c>
      <c r="Z537" s="3">
        <v>0.39800000000000002</v>
      </c>
      <c r="AA537" s="3">
        <v>0.222</v>
      </c>
      <c r="AB537" s="4">
        <v>202.83</v>
      </c>
      <c r="AC537" s="3">
        <v>53.9</v>
      </c>
      <c r="AD537" s="8">
        <v>16.52</v>
      </c>
      <c r="AE537" s="8">
        <v>8.1</v>
      </c>
      <c r="AF537" s="3">
        <v>1.85</v>
      </c>
      <c r="AG537" s="3">
        <v>8.6999999999999993</v>
      </c>
      <c r="AH537" s="2">
        <v>0.05</v>
      </c>
      <c r="AI537" s="2">
        <v>0.03</v>
      </c>
      <c r="AJ537" s="3">
        <v>0.2</v>
      </c>
      <c r="AU537" s="13"/>
      <c r="AV537" s="13"/>
    </row>
    <row r="538" spans="1:48" x14ac:dyDescent="0.3">
      <c r="AD538" s="8"/>
      <c r="AE538" s="8"/>
      <c r="AU538" s="13"/>
      <c r="AV538" s="13"/>
    </row>
    <row r="539" spans="1:48" x14ac:dyDescent="0.3">
      <c r="A539" s="5">
        <v>44845</v>
      </c>
      <c r="B539" s="12" t="s">
        <v>37</v>
      </c>
      <c r="C539" t="s">
        <v>109</v>
      </c>
      <c r="E539" t="s">
        <v>39</v>
      </c>
      <c r="F539" s="11">
        <v>40.717700000000001</v>
      </c>
      <c r="G539" s="11">
        <v>-79.006320000000002</v>
      </c>
      <c r="H539" t="s">
        <v>92</v>
      </c>
      <c r="J539" s="1">
        <v>915</v>
      </c>
      <c r="K539" t="s">
        <v>96</v>
      </c>
      <c r="L539" s="2">
        <v>7.83</v>
      </c>
      <c r="M539" s="2">
        <v>7.8</v>
      </c>
      <c r="N539" s="1">
        <v>464</v>
      </c>
      <c r="O539" s="1">
        <v>470</v>
      </c>
      <c r="P539" s="3">
        <v>7.6</v>
      </c>
      <c r="Q539" s="4">
        <v>94</v>
      </c>
      <c r="R539" s="4">
        <v>94.2</v>
      </c>
      <c r="S539" s="4">
        <v>-84.2</v>
      </c>
      <c r="T539" s="4" cm="1">
        <f t="array" ref="T539">_xlfn.IFS(L539&lt;=5,IF(ISNUMBER(X539)=TRUE,X539*1.79+AA539*1.8+Z539*5.56+50000*(10^-L539)-Q539,1.79+AA539*1.8+Z539*5.56+50000*(10^-L539)-Q539),L539&gt;5,IF(ISNUMBER(X539)=TRUE,X539*1.79+AA539*1.8+50000*(10^-L539)-Q539,AA539*1.8+50000*(10^-L539)-Q539))</f>
        <v>-93.956060445805917</v>
      </c>
      <c r="U539" s="2">
        <v>9.48</v>
      </c>
      <c r="V539" s="2">
        <v>79.7</v>
      </c>
      <c r="W539" s="3">
        <v>0.1</v>
      </c>
      <c r="X539" s="3" t="s">
        <v>161</v>
      </c>
      <c r="Z539" s="3">
        <v>0.3</v>
      </c>
      <c r="AA539" s="3">
        <v>2.4E-2</v>
      </c>
      <c r="AB539" s="4">
        <v>144.76</v>
      </c>
      <c r="AC539" s="3">
        <v>59.55</v>
      </c>
      <c r="AD539" s="8">
        <v>18.64</v>
      </c>
      <c r="AE539" s="8">
        <v>4.91</v>
      </c>
      <c r="AF539" s="3">
        <v>1.83</v>
      </c>
      <c r="AG539" s="3">
        <v>5.7</v>
      </c>
      <c r="AH539" s="2" t="s">
        <v>161</v>
      </c>
      <c r="AI539" s="2" t="s">
        <v>162</v>
      </c>
      <c r="AJ539" s="3" t="s">
        <v>159</v>
      </c>
      <c r="AN539" s="1">
        <f t="shared" ref="AN539:AN544" si="433">S539*J539*0.012</f>
        <v>-924.51599999999996</v>
      </c>
      <c r="AO539" s="1">
        <f t="shared" ref="AO539:AO544" si="434">W539*J539*0.012</f>
        <v>1.0980000000000001</v>
      </c>
      <c r="AP539" s="1">
        <f t="shared" ref="AP539:AP544" si="435">Z539*J539*0.012</f>
        <v>3.294</v>
      </c>
      <c r="AQ539" s="1">
        <f t="shared" ref="AQ539:AQ544" si="436">AA539*J539*0.012</f>
        <v>0.26352000000000003</v>
      </c>
      <c r="AR539" s="1">
        <f>AB539*J539*0.012</f>
        <v>1589.4648</v>
      </c>
      <c r="AS539" s="1">
        <f t="shared" si="260"/>
        <v>1034.316</v>
      </c>
      <c r="AU539" s="13" t="str">
        <f>CONCATENATE(TEXT(ROUNDDOWN(ABS(F539),0),"00"),"° ",TEXT(ROUNDDOWN(ABS((F539-ROUNDDOWN(F539,0))*60),0),"00"),"' ",TEXT(TRUNC((ABS((F539-ROUNDDOWN(F539,0))*60)-ROUNDDOWN(ABS((F539-ROUNDDOWN(F539,0))*60),0))*60,2),"00.00"),"""",IF(F539&lt;0," S"," N"))</f>
        <v>40° 43' 03.72" N</v>
      </c>
      <c r="AV539" s="13" t="str">
        <f>CONCATENATE(TEXT(ROUNDDOWN(ABS(G539),0),"000"),"° ",TEXT(ROUNDDOWN(ABS((G539-ROUNDDOWN(G539,0))*60),0),"00"),"' ",TEXT(TRUNC((ABS((G539-ROUNDDOWN(G539,0))*60)-ROUNDDOWN(ABS((G539-ROUNDDOWN(G539,0))*60),0))*60,2),"00.00"),"""",IF(G539&lt;0," W"," E"))</f>
        <v>079° 00' 22.75" W</v>
      </c>
    </row>
    <row r="540" spans="1:48" x14ac:dyDescent="0.3">
      <c r="A540" s="5">
        <v>44903</v>
      </c>
      <c r="B540" s="12" t="s">
        <v>37</v>
      </c>
      <c r="C540" t="s">
        <v>109</v>
      </c>
      <c r="E540" t="s">
        <v>39</v>
      </c>
      <c r="F540" s="11">
        <v>40.717700000000001</v>
      </c>
      <c r="G540" s="11">
        <v>-79.006320000000002</v>
      </c>
      <c r="H540" t="s">
        <v>92</v>
      </c>
      <c r="J540" s="1">
        <v>3402</v>
      </c>
      <c r="K540" t="s">
        <v>96</v>
      </c>
      <c r="L540" s="2">
        <v>7.85</v>
      </c>
      <c r="M540" s="2">
        <v>7.5</v>
      </c>
      <c r="N540" s="1">
        <v>313</v>
      </c>
      <c r="O540" s="1">
        <v>323</v>
      </c>
      <c r="P540" s="3">
        <v>7.9</v>
      </c>
      <c r="Q540" s="4">
        <v>67.5</v>
      </c>
      <c r="R540" s="4">
        <v>72</v>
      </c>
      <c r="S540" s="4">
        <v>-62</v>
      </c>
      <c r="T540" s="4" cm="1">
        <f t="array" ref="T540">_xlfn.IFS(L540&lt;=5,IF(ISNUMBER(X540)=TRUE,X540*1.79+AA540*1.8+Z540*5.56+50000*(10^-L540)-Q540,1.79+AA540*1.8+Z540*5.56+50000*(10^-L540)-Q540),L540&gt;5,IF(ISNUMBER(X540)=TRUE,X540*1.79+AA540*1.8+50000*(10^-L540)-Q540,AA540*1.8+50000*(10^-L540)-Q540))</f>
        <v>-67.416493731227689</v>
      </c>
      <c r="U540" s="2">
        <v>11.18</v>
      </c>
      <c r="V540" s="2">
        <v>94.2</v>
      </c>
      <c r="W540" s="3">
        <v>0.1</v>
      </c>
      <c r="X540" s="3" t="s">
        <v>161</v>
      </c>
      <c r="Z540" s="3">
        <v>0.3</v>
      </c>
      <c r="AA540" s="3">
        <v>4.5999999999999999E-2</v>
      </c>
      <c r="AC540" s="3">
        <v>40.450000000000003</v>
      </c>
      <c r="AD540" s="8">
        <v>12.49</v>
      </c>
      <c r="AE540" s="8">
        <v>4.5199999999999996</v>
      </c>
      <c r="AF540" s="3">
        <v>1.57</v>
      </c>
      <c r="AG540" s="3">
        <v>5.4</v>
      </c>
      <c r="AH540" s="2" t="s">
        <v>161</v>
      </c>
      <c r="AI540" s="2" t="s">
        <v>162</v>
      </c>
      <c r="AJ540" s="3" t="s">
        <v>159</v>
      </c>
      <c r="AN540" s="1">
        <f t="shared" si="433"/>
        <v>-2531.0880000000002</v>
      </c>
      <c r="AO540" s="1">
        <f t="shared" si="434"/>
        <v>4.0824000000000007</v>
      </c>
      <c r="AP540" s="1">
        <f t="shared" si="435"/>
        <v>12.247199999999999</v>
      </c>
      <c r="AQ540" s="1">
        <f t="shared" si="436"/>
        <v>1.877904</v>
      </c>
      <c r="AS540" s="1">
        <f t="shared" si="260"/>
        <v>2939.328</v>
      </c>
      <c r="AU540" s="13"/>
      <c r="AV540" s="13"/>
    </row>
    <row r="541" spans="1:48" x14ac:dyDescent="0.3">
      <c r="A541" s="5">
        <v>44964</v>
      </c>
      <c r="B541" s="12" t="s">
        <v>37</v>
      </c>
      <c r="C541" t="s">
        <v>109</v>
      </c>
      <c r="E541" t="s">
        <v>39</v>
      </c>
      <c r="F541" s="11">
        <v>40.717700000000001</v>
      </c>
      <c r="G541" s="11">
        <v>-79.006320000000002</v>
      </c>
      <c r="H541" t="s">
        <v>218</v>
      </c>
      <c r="J541" s="1">
        <f>8.08*449</f>
        <v>3627.92</v>
      </c>
      <c r="K541" t="s">
        <v>96</v>
      </c>
      <c r="M541" s="2">
        <v>7.5</v>
      </c>
      <c r="O541" s="1">
        <v>371</v>
      </c>
      <c r="R541" s="4">
        <v>72</v>
      </c>
      <c r="S541" s="4">
        <v>-53.6</v>
      </c>
      <c r="T541" s="4" cm="1">
        <f t="array" ref="T541">_xlfn.IFS(M541&lt;=5,IF(ISNUMBER(X541)=TRUE,X541*1.79+AA541*1.8+Z541*5.56+50000*(10^-M541)-R541,1.79+AA541*1.8+Z541*5.56+50000*(10^-M541)-R541),M541&gt;5,IF(ISNUMBER(X541)=TRUE,X541*1.79+AA541*1.8+50000*(10^-M541)-R541,AA541*1.8+50000*(10^-M541)-R541))</f>
        <v>-71.833318861169914</v>
      </c>
      <c r="W541" s="3">
        <v>0.1</v>
      </c>
      <c r="X541" s="3">
        <v>0.05</v>
      </c>
      <c r="Z541" s="3">
        <v>0.3</v>
      </c>
      <c r="AA541" s="3">
        <v>4.2000000000000003E-2</v>
      </c>
      <c r="AB541" s="4">
        <v>104.25</v>
      </c>
      <c r="AC541" s="3">
        <v>46.27</v>
      </c>
      <c r="AD541" s="8">
        <v>14.67</v>
      </c>
      <c r="AE541" s="8">
        <v>4.08</v>
      </c>
      <c r="AF541" s="3">
        <v>1.51</v>
      </c>
      <c r="AG541" s="3">
        <v>5.0999999999999996</v>
      </c>
      <c r="AH541" s="2" t="s">
        <v>161</v>
      </c>
      <c r="AI541" s="2" t="s">
        <v>162</v>
      </c>
      <c r="AJ541" s="3" t="s">
        <v>159</v>
      </c>
      <c r="AN541" s="1">
        <f t="shared" si="433"/>
        <v>-2333.4781440000002</v>
      </c>
      <c r="AO541" s="1">
        <f t="shared" si="434"/>
        <v>4.353504</v>
      </c>
      <c r="AP541" s="1">
        <f t="shared" si="435"/>
        <v>13.060511999999999</v>
      </c>
      <c r="AQ541" s="1">
        <f t="shared" si="436"/>
        <v>1.8284716800000003</v>
      </c>
      <c r="AR541" s="1">
        <f>AB541*J541*0.012</f>
        <v>4538.5279200000004</v>
      </c>
      <c r="AS541" s="1">
        <f t="shared" si="260"/>
        <v>3134.52288</v>
      </c>
      <c r="AU541" s="13"/>
      <c r="AV541" s="13"/>
    </row>
    <row r="542" spans="1:48" x14ac:dyDescent="0.3">
      <c r="A542" s="5">
        <v>45022</v>
      </c>
      <c r="B542" s="12" t="s">
        <v>63</v>
      </c>
      <c r="C542" t="s">
        <v>109</v>
      </c>
      <c r="E542" t="s">
        <v>39</v>
      </c>
      <c r="F542" s="11">
        <v>40.717700000000001</v>
      </c>
      <c r="G542" s="11">
        <v>-79.006320000000002</v>
      </c>
      <c r="H542" t="s">
        <v>218</v>
      </c>
      <c r="J542" s="1">
        <v>5289</v>
      </c>
      <c r="K542" t="s">
        <v>96</v>
      </c>
      <c r="L542" s="2">
        <v>7.8</v>
      </c>
      <c r="M542" s="2">
        <v>6.5</v>
      </c>
      <c r="N542" s="1">
        <v>289</v>
      </c>
      <c r="O542" s="1">
        <v>315</v>
      </c>
      <c r="R542" s="4">
        <v>65.2</v>
      </c>
      <c r="S542" s="4">
        <v>-56.6</v>
      </c>
      <c r="T542" s="4" cm="1">
        <f t="array" ref="T542">_xlfn.IFS(L542&lt;=5,IF(ISNUMBER(X542)=TRUE,X542*1.79+AA542*1.8+Z542*5.56+50000*(10^-L542)-R542,1.79+AA542*1.8+Z542*5.56+50000*(10^-L542)-R542),L542&gt;5,IF(ISNUMBER(X542)=TRUE,X542*1.79+AA542*1.8+50000*(10^-L542)-R542,AA542*1.8+50000*(10^-L542)-R542))</f>
        <v>-65.035907553403774</v>
      </c>
      <c r="W542" s="3">
        <v>0.152</v>
      </c>
      <c r="X542" s="3">
        <v>0.05</v>
      </c>
      <c r="Z542" s="3">
        <v>0.3</v>
      </c>
      <c r="AA542" s="3">
        <v>4.1000000000000002E-2</v>
      </c>
      <c r="AB542" s="4">
        <v>90.97</v>
      </c>
      <c r="AC542" s="3">
        <v>43</v>
      </c>
      <c r="AD542" s="8">
        <v>13.1</v>
      </c>
      <c r="AE542" s="8">
        <v>3.96</v>
      </c>
      <c r="AF542" s="3">
        <v>1.55</v>
      </c>
      <c r="AG542" s="3">
        <v>4.5999999999999996</v>
      </c>
      <c r="AH542" s="2" t="s">
        <v>161</v>
      </c>
      <c r="AI542" s="2" t="s">
        <v>162</v>
      </c>
      <c r="AJ542" s="3" t="s">
        <v>159</v>
      </c>
      <c r="AN542" s="1">
        <f t="shared" si="433"/>
        <v>-3592.2888000000003</v>
      </c>
      <c r="AO542" s="1">
        <f t="shared" si="434"/>
        <v>9.6471359999999997</v>
      </c>
      <c r="AP542" s="1">
        <f t="shared" si="435"/>
        <v>19.040400000000002</v>
      </c>
      <c r="AQ542" s="1">
        <f t="shared" si="436"/>
        <v>2.6021880000000004</v>
      </c>
      <c r="AR542" s="1">
        <f>AB542*J542*0.012</f>
        <v>5773.6839600000003</v>
      </c>
      <c r="AS542" s="1">
        <f t="shared" si="260"/>
        <v>4138.1136000000006</v>
      </c>
      <c r="AU542" s="13"/>
      <c r="AV542" s="13"/>
    </row>
    <row r="543" spans="1:48" x14ac:dyDescent="0.3">
      <c r="A543" s="5">
        <v>45098</v>
      </c>
      <c r="B543" s="12" t="s">
        <v>283</v>
      </c>
      <c r="C543" t="s">
        <v>109</v>
      </c>
      <c r="E543" t="s">
        <v>39</v>
      </c>
      <c r="F543" s="11">
        <v>40.717700000000001</v>
      </c>
      <c r="G543" s="11">
        <v>-79.006320000000002</v>
      </c>
      <c r="H543" t="s">
        <v>276</v>
      </c>
      <c r="J543" s="1">
        <v>588</v>
      </c>
      <c r="K543" t="s">
        <v>96</v>
      </c>
      <c r="L543" s="2">
        <v>7.98</v>
      </c>
      <c r="M543" s="2">
        <v>6.8</v>
      </c>
      <c r="N543" s="1">
        <v>449.4</v>
      </c>
      <c r="O543" s="1">
        <v>441</v>
      </c>
      <c r="R543" s="40">
        <v>91.8</v>
      </c>
      <c r="S543" s="40">
        <v>-84.6</v>
      </c>
      <c r="T543" s="4" cm="1">
        <f t="array" ref="T543">_xlfn.IFS(L543&lt;=5,IF(ISNUMBER(X543)=TRUE,X543*1.79+AA543*1.8+Z543*5.56+50000*(10^-L543)-R543,1.79+AA543*1.8+Z543*5.56+50000*(10^-L543)-R543),L543&gt;5,IF(ISNUMBER(X543)=TRUE,X543*1.79+AA543*1.8+50000*(10^-L543)-R543,AA543*1.8+50000*(10^-L543)-R543))</f>
        <v>-91.643376435725969</v>
      </c>
      <c r="U543" s="6"/>
      <c r="V543" s="6"/>
      <c r="W543" s="8">
        <v>0.1</v>
      </c>
      <c r="X543" s="8">
        <v>0.05</v>
      </c>
      <c r="Y543" s="8"/>
      <c r="Z543" s="8">
        <v>0.3</v>
      </c>
      <c r="AA543" s="8">
        <v>3.6999999999999998E-2</v>
      </c>
      <c r="AB543" s="40">
        <v>128.02000000000001</v>
      </c>
      <c r="AC543" s="8">
        <v>58.75</v>
      </c>
      <c r="AD543" s="6">
        <v>17.420000000000002</v>
      </c>
      <c r="AE543" s="8">
        <v>5.31</v>
      </c>
      <c r="AF543" s="8">
        <v>1.94</v>
      </c>
      <c r="AG543" s="6">
        <v>6.3</v>
      </c>
      <c r="AH543" s="6">
        <v>0.05</v>
      </c>
      <c r="AI543" s="41">
        <v>0.03</v>
      </c>
      <c r="AJ543" s="6">
        <v>0.2</v>
      </c>
      <c r="AK543" s="6"/>
      <c r="AL543" s="6"/>
      <c r="AN543" s="1">
        <f t="shared" si="433"/>
        <v>-596.93759999999997</v>
      </c>
      <c r="AO543" s="1">
        <f t="shared" si="434"/>
        <v>0.70560000000000012</v>
      </c>
      <c r="AP543" s="1">
        <f t="shared" si="435"/>
        <v>2.1168</v>
      </c>
      <c r="AQ543" s="1">
        <f t="shared" si="436"/>
        <v>0.26107200000000003</v>
      </c>
      <c r="AR543" s="1">
        <f>AB543*J543*0.012</f>
        <v>903.30912000000012</v>
      </c>
      <c r="AS543" s="1">
        <f t="shared" si="260"/>
        <v>647.74079999999992</v>
      </c>
      <c r="AU543" s="13"/>
      <c r="AV543" s="13"/>
    </row>
    <row r="544" spans="1:48" x14ac:dyDescent="0.3">
      <c r="A544" s="5">
        <v>45169</v>
      </c>
      <c r="B544" s="12" t="s">
        <v>300</v>
      </c>
      <c r="C544" t="s">
        <v>109</v>
      </c>
      <c r="E544" t="s">
        <v>39</v>
      </c>
      <c r="F544" s="11">
        <v>40.717700000000001</v>
      </c>
      <c r="G544" s="11">
        <v>-79.006320000000002</v>
      </c>
      <c r="H544" t="s">
        <v>299</v>
      </c>
      <c r="J544" s="1">
        <v>2877.2</v>
      </c>
      <c r="K544" t="s">
        <v>96</v>
      </c>
      <c r="L544" s="2">
        <v>7.74</v>
      </c>
      <c r="M544" s="2">
        <v>6.9</v>
      </c>
      <c r="N544" s="1">
        <v>313</v>
      </c>
      <c r="O544" s="1">
        <v>362</v>
      </c>
      <c r="R544" s="40">
        <v>79.2</v>
      </c>
      <c r="S544" s="40">
        <v>-72.599999999999994</v>
      </c>
      <c r="T544" s="4" cm="1">
        <f t="array" ref="T544">_xlfn.IFS(L544&lt;=5,IF(ISNUMBER(X544)=TRUE,X544*1.79+AA544*1.8+Z544*5.56+50000*(10^-L544)-R544,1.79+AA544*1.8+Z544*5.56+50000*(10^-L544)-R544),L544&gt;5,IF(ISNUMBER(X544)=TRUE,X544*1.79+AA544*1.8+50000*(10^-L544)-R544,AA544*1.8+50000*(10^-L544)-R544))</f>
        <v>-78.890630149570697</v>
      </c>
      <c r="U544" s="6"/>
      <c r="V544" s="6"/>
      <c r="W544" s="8">
        <v>0.25600000000000001</v>
      </c>
      <c r="X544" s="8">
        <v>0.114</v>
      </c>
      <c r="Y544" s="8"/>
      <c r="Z544" s="8">
        <v>0.3</v>
      </c>
      <c r="AA544" s="8">
        <v>5.8000000000000003E-2</v>
      </c>
      <c r="AB544" s="40">
        <v>94.64</v>
      </c>
      <c r="AC544" s="6">
        <v>48.7</v>
      </c>
      <c r="AD544" s="6">
        <v>14.6</v>
      </c>
      <c r="AE544" s="8">
        <v>4.2300000000000004</v>
      </c>
      <c r="AF544" s="8">
        <v>1.74</v>
      </c>
      <c r="AG544" s="6">
        <v>4.2</v>
      </c>
      <c r="AH544" s="6">
        <v>0.05</v>
      </c>
      <c r="AI544" s="41">
        <v>0.03</v>
      </c>
      <c r="AJ544" s="6">
        <v>0.2</v>
      </c>
      <c r="AK544" s="6"/>
      <c r="AL544" s="6"/>
      <c r="AN544" s="1">
        <f t="shared" si="433"/>
        <v>-2506.6166399999997</v>
      </c>
      <c r="AO544" s="1">
        <f t="shared" si="434"/>
        <v>8.8387583999999997</v>
      </c>
      <c r="AP544" s="1">
        <f t="shared" si="435"/>
        <v>10.35792</v>
      </c>
      <c r="AQ544" s="1">
        <f t="shared" si="436"/>
        <v>2.0025312</v>
      </c>
      <c r="AR544" s="1">
        <f>AB544*J544*0.012</f>
        <v>3267.5784960000001</v>
      </c>
      <c r="AS544" s="1">
        <f t="shared" si="260"/>
        <v>2734.4908799999998</v>
      </c>
      <c r="AU544" s="13"/>
      <c r="AV544" s="13"/>
    </row>
    <row r="545" spans="1:48" x14ac:dyDescent="0.3">
      <c r="F545" s="11"/>
      <c r="G545" s="11"/>
      <c r="AD545" s="8"/>
      <c r="AE545" s="8"/>
    </row>
    <row r="546" spans="1:48" x14ac:dyDescent="0.3">
      <c r="A546" s="5">
        <v>44903</v>
      </c>
      <c r="B546" s="12" t="s">
        <v>150</v>
      </c>
      <c r="E546" t="s">
        <v>151</v>
      </c>
      <c r="F546" s="11" t="s">
        <v>152</v>
      </c>
      <c r="G546" s="11"/>
      <c r="H546" t="s">
        <v>95</v>
      </c>
      <c r="J546" s="1">
        <v>250</v>
      </c>
      <c r="K546" t="s">
        <v>106</v>
      </c>
      <c r="L546" s="2">
        <v>5.87</v>
      </c>
      <c r="M546" s="2">
        <v>7</v>
      </c>
      <c r="N546" s="1">
        <v>630</v>
      </c>
      <c r="O546" s="1">
        <v>671</v>
      </c>
      <c r="Q546" s="4">
        <v>153</v>
      </c>
      <c r="R546" s="4">
        <v>154.19999999999999</v>
      </c>
      <c r="S546" s="4">
        <v>-142.19999999999999</v>
      </c>
      <c r="T546" s="4" cm="1">
        <f t="array" ref="T546">_xlfn.IFS(L546&lt;=5,IF(ISNUMBER(X546)=TRUE,X546*1.79+AA546*1.8+Z546*5.56+50000*(10^-L546)-Q546,1.79+AA546*1.8+Z546*5.56+50000*(10^-L546)-Q546),L546&gt;5,IF(ISNUMBER(X546)=TRUE,X546*1.79+AA546*1.8+50000*(10^-L546)-Q546,AA546*1.8+50000*(10^-L546)-Q546))</f>
        <v>-144.38303185587043</v>
      </c>
      <c r="W546" s="3">
        <v>6.8659999999999997</v>
      </c>
      <c r="X546" s="3">
        <v>3.6480000000000001</v>
      </c>
      <c r="Z546" s="3">
        <v>0.3</v>
      </c>
      <c r="AA546" s="3">
        <v>1.1220000000000001</v>
      </c>
      <c r="AC546" s="3">
        <v>89.65</v>
      </c>
      <c r="AD546" s="8">
        <v>25.96</v>
      </c>
      <c r="AE546" s="8">
        <v>17.12</v>
      </c>
      <c r="AF546" s="3">
        <v>3.19</v>
      </c>
      <c r="AG546" s="3">
        <v>4</v>
      </c>
      <c r="AH546" s="2">
        <v>0.05</v>
      </c>
      <c r="AI546" s="2">
        <v>0.03</v>
      </c>
      <c r="AJ546" s="3">
        <v>0.2</v>
      </c>
      <c r="AN546" s="1">
        <f>S546*J546*0.012</f>
        <v>-426.6</v>
      </c>
      <c r="AO546" s="1">
        <f>W546*J546*0.012</f>
        <v>20.597999999999999</v>
      </c>
      <c r="AP546" s="1">
        <f>Z546*J546*0.012</f>
        <v>0.9</v>
      </c>
      <c r="AQ546" s="1">
        <f>AA546*J546*0.012</f>
        <v>3.3660000000000001</v>
      </c>
      <c r="AR546" s="1">
        <f>AB546*J546*0.012</f>
        <v>0</v>
      </c>
      <c r="AS546" s="1">
        <f t="shared" si="260"/>
        <v>462.59999999999997</v>
      </c>
      <c r="AU546" s="13"/>
      <c r="AV546" s="13"/>
    </row>
    <row r="547" spans="1:48" x14ac:dyDescent="0.3">
      <c r="F547" s="11"/>
      <c r="G547" s="11"/>
      <c r="AD547" s="8"/>
      <c r="AE547" s="8"/>
    </row>
    <row r="548" spans="1:48" x14ac:dyDescent="0.3">
      <c r="A548" s="5">
        <v>44845</v>
      </c>
      <c r="E548" t="s">
        <v>163</v>
      </c>
      <c r="I548" s="2">
        <v>0</v>
      </c>
      <c r="J548" s="1">
        <f>J393+J425</f>
        <v>10057</v>
      </c>
      <c r="K548" t="s">
        <v>96</v>
      </c>
      <c r="L548" s="2">
        <f>L393*(J393/(J393+J425))+L425*(J425/(J393+J425))</f>
        <v>7.6980063637267575</v>
      </c>
      <c r="Q548" s="4">
        <f>Q393*(J393/(J393+J425))+Q425*(J425/(J393+J425))</f>
        <v>68.689917470418621</v>
      </c>
      <c r="S548" s="4">
        <f>AN548/$J548*83.23</f>
        <v>-51.38081443611415</v>
      </c>
      <c r="T548" s="4" cm="1">
        <f t="array" ref="T548">_xlfn.IFS(L548&lt;=5,IF(ISNUMBER(W548)=TRUE,W548*1.79+AA548*1.8+Z548*5.56+50000*(10^-L548)-Q548,1.79+AA548*1.8+Z548*5.56+50000*(10^-L548)-Q548),L548&gt;5,IF(ISNUMBER(W548)=TRUE,W548*1.79+AA548*1.8+50000*(10^-L548)-Q548,AA548*1.8+50000*(10^-L548)-Q548))</f>
        <v>-65.909261451731368</v>
      </c>
      <c r="W548" s="3">
        <f>AO548/$J548*83.23</f>
        <v>1.0833397875111863</v>
      </c>
      <c r="Z548" s="3">
        <f t="shared" ref="Z548:AB549" si="437">AP548/$J548*83.23</f>
        <v>0.74670890633389686</v>
      </c>
      <c r="AA548" s="3">
        <f t="shared" si="437"/>
        <v>0.46693087650790499</v>
      </c>
      <c r="AB548" s="4">
        <f t="shared" si="437"/>
        <v>156.80516110410659</v>
      </c>
      <c r="AN548" s="1">
        <f>AN393+AN425</f>
        <v>-6208.5407999999998</v>
      </c>
      <c r="AO548" s="1">
        <f>AO393+AO425</f>
        <v>130.9041</v>
      </c>
      <c r="AP548" s="1">
        <f>AP393+AP425</f>
        <v>90.227699999999999</v>
      </c>
      <c r="AQ548" s="1">
        <f>AQ393+AQ425</f>
        <v>56.421047999999999</v>
      </c>
      <c r="AR548" s="1">
        <f>AR393+AR425</f>
        <v>18947.3688</v>
      </c>
      <c r="AU548" s="13"/>
      <c r="AV548" s="13"/>
    </row>
    <row r="549" spans="1:48" x14ac:dyDescent="0.3">
      <c r="A549" s="5">
        <v>44903</v>
      </c>
      <c r="E549" t="s">
        <v>163</v>
      </c>
      <c r="I549" s="2">
        <v>0</v>
      </c>
      <c r="J549" s="1">
        <f>J394+J426</f>
        <v>37280</v>
      </c>
      <c r="K549" t="s">
        <v>96</v>
      </c>
      <c r="L549" s="2">
        <f>L394*(J394/(J394+J426))+L426*(J426/(J394+J426))</f>
        <v>7.1445509656652364</v>
      </c>
      <c r="Q549" s="4">
        <f>Q394*(J394/(J394+J426))+Q426*(J426/(J394+J426))</f>
        <v>42.390262875536479</v>
      </c>
      <c r="S549" s="4">
        <f>AN549/J549*83.23</f>
        <v>-32.703897891630895</v>
      </c>
      <c r="T549" s="4" cm="1">
        <f t="array" ref="T549">_xlfn.IFS(L549&lt;=5,IF(ISNUMBER(W549)=TRUE,W549*1.79+AA549*1.8+Z549*5.56+50000*(10^-L549)-Q549,1.79+AA549*1.8+Z549*5.56+50000*(10^-L549)-Q549),L549&gt;5,IF(ISNUMBER(W549)=TRUE,W549*1.79+AA549*1.8+50000*(10^-L549)-Q549,AA549*1.8+50000*(10^-L549)-Q549))</f>
        <v>-39.940067410766147</v>
      </c>
      <c r="W549" s="3">
        <f>AO549/$J549*83.23</f>
        <v>1.1291531010836913</v>
      </c>
      <c r="Z549" s="3">
        <f t="shared" si="437"/>
        <v>0.69606820725321894</v>
      </c>
      <c r="AA549" s="3">
        <f t="shared" si="437"/>
        <v>0.23634832923283264</v>
      </c>
      <c r="AN549" s="1">
        <f>AN394+AN426</f>
        <v>-14648.579999999998</v>
      </c>
      <c r="AO549" s="1">
        <f>AO394+AO426</f>
        <v>505.76508000000007</v>
      </c>
      <c r="AP549" s="1">
        <f>AP394+AP426</f>
        <v>311.77967999999998</v>
      </c>
      <c r="AQ549" s="1">
        <f>AQ394+AQ426</f>
        <v>105.86406000000001</v>
      </c>
    </row>
    <row r="550" spans="1:48" s="7" customFormat="1" x14ac:dyDescent="0.3">
      <c r="A550" s="45" t="s">
        <v>144</v>
      </c>
      <c r="B550" s="46"/>
      <c r="I550" s="15"/>
      <c r="J550" s="20">
        <f>AVERAGE(J548:J549)</f>
        <v>23668.5</v>
      </c>
      <c r="K550" s="20"/>
      <c r="L550" s="50">
        <f t="shared" ref="L550:W550" si="438">AVERAGE(L548:L549)</f>
        <v>7.421278664695997</v>
      </c>
      <c r="M550" s="20"/>
      <c r="N550" s="20"/>
      <c r="O550" s="20"/>
      <c r="P550" s="20"/>
      <c r="Q550" s="20">
        <f t="shared" si="438"/>
        <v>55.54009017297755</v>
      </c>
      <c r="R550" s="20"/>
      <c r="S550" s="20">
        <f t="shared" si="438"/>
        <v>-42.042356163872526</v>
      </c>
      <c r="T550" s="20">
        <f t="shared" si="438"/>
        <v>-52.924664431248758</v>
      </c>
      <c r="U550" s="20"/>
      <c r="V550" s="20"/>
      <c r="W550" s="30">
        <f t="shared" si="438"/>
        <v>1.1062464442974389</v>
      </c>
      <c r="X550" s="30"/>
      <c r="Y550" s="30"/>
      <c r="Z550" s="32">
        <f t="shared" ref="Z550:AA550" si="439">AVERAGE(Z548:Z549)</f>
        <v>0.72138855679355784</v>
      </c>
      <c r="AA550" s="30">
        <f t="shared" si="439"/>
        <v>0.35163960287036883</v>
      </c>
      <c r="AB550" s="20">
        <f t="shared" ref="AB550:AR550" si="440">AVERAGE(AB548:AB549)</f>
        <v>156.80516110410659</v>
      </c>
      <c r="AC550" s="20"/>
      <c r="AD550" s="20"/>
      <c r="AE550" s="20"/>
      <c r="AF550" s="20"/>
      <c r="AG550" s="20"/>
      <c r="AH550" s="20"/>
      <c r="AI550" s="20"/>
      <c r="AJ550" s="20"/>
      <c r="AK550" s="20"/>
      <c r="AL550" s="20"/>
      <c r="AM550" s="20"/>
      <c r="AN550" s="20">
        <f t="shared" si="440"/>
        <v>-10428.560399999998</v>
      </c>
      <c r="AO550" s="20">
        <f t="shared" si="440"/>
        <v>318.33459000000005</v>
      </c>
      <c r="AP550" s="20">
        <f t="shared" si="440"/>
        <v>201.00369000000001</v>
      </c>
      <c r="AQ550" s="20">
        <f t="shared" si="440"/>
        <v>81.142554000000004</v>
      </c>
      <c r="AR550" s="20">
        <f t="shared" si="440"/>
        <v>18947.3688</v>
      </c>
      <c r="AS550" s="1"/>
    </row>
    <row r="552" spans="1:48" x14ac:dyDescent="0.3">
      <c r="A552" s="5">
        <v>44964</v>
      </c>
      <c r="B552" s="12" t="s">
        <v>214</v>
      </c>
      <c r="C552" t="s">
        <v>216</v>
      </c>
      <c r="E552" t="s">
        <v>217</v>
      </c>
      <c r="F552" s="11"/>
      <c r="G552" s="11"/>
      <c r="H552" t="s">
        <v>218</v>
      </c>
      <c r="J552" s="1" t="s">
        <v>219</v>
      </c>
      <c r="L552" s="2">
        <v>7.71</v>
      </c>
      <c r="M552" s="2">
        <v>6.9</v>
      </c>
      <c r="N552" s="1">
        <v>215</v>
      </c>
      <c r="O552" s="1">
        <v>204</v>
      </c>
      <c r="Q552" s="4">
        <v>31</v>
      </c>
      <c r="R552" s="4">
        <v>35.799999999999997</v>
      </c>
      <c r="S552" s="4">
        <v>-26.2</v>
      </c>
      <c r="T552" s="4" cm="1">
        <f t="array" ref="T552">_xlfn.IFS(L552&lt;=5,IF(ISNUMBER(X552)=TRUE,X552*1.79+AA552*1.8+Z552*5.56+50000*(10^-L552)-Q552,1.79+AA552*1.8+Z552*5.56+50000*(10^-L552)-Q552),L552&gt;5,IF(ISNUMBER(X552)=TRUE,X552*1.79+AA552*1.8+50000*(10^-L552)-Q552,AA552*1.8+50000*(10^-L552)-Q552))</f>
        <v>-30.805125077700122</v>
      </c>
      <c r="W552" s="3">
        <v>0.126</v>
      </c>
      <c r="X552" s="3">
        <v>0.05</v>
      </c>
      <c r="Z552" s="3" t="s">
        <v>158</v>
      </c>
      <c r="AA552" s="3">
        <v>5.8000000000000003E-2</v>
      </c>
      <c r="AB552" s="4">
        <v>26.64</v>
      </c>
      <c r="AC552" s="3">
        <v>17.989999999999998</v>
      </c>
      <c r="AD552" s="8">
        <v>5.58</v>
      </c>
      <c r="AE552" s="8">
        <v>10.69</v>
      </c>
      <c r="AF552" s="3">
        <v>1.3</v>
      </c>
      <c r="AG552" s="3">
        <v>19.399999999999999</v>
      </c>
      <c r="AH552" s="2" t="s">
        <v>161</v>
      </c>
      <c r="AI552" s="2" t="s">
        <v>162</v>
      </c>
      <c r="AJ552" s="3" t="s">
        <v>159</v>
      </c>
    </row>
    <row r="553" spans="1:48" x14ac:dyDescent="0.3">
      <c r="F553" s="11"/>
      <c r="G553" s="11"/>
      <c r="AD553" s="8"/>
      <c r="AE553" s="8"/>
      <c r="AU553" s="13"/>
      <c r="AV553" s="13"/>
    </row>
    <row r="554" spans="1:48" x14ac:dyDescent="0.3">
      <c r="A554" s="5">
        <v>44964</v>
      </c>
      <c r="B554" s="12" t="s">
        <v>220</v>
      </c>
      <c r="C554" t="s">
        <v>221</v>
      </c>
      <c r="E554" t="s">
        <v>222</v>
      </c>
      <c r="F554" s="11"/>
      <c r="G554" s="11"/>
      <c r="H554" t="s">
        <v>218</v>
      </c>
      <c r="J554" s="1">
        <v>8</v>
      </c>
      <c r="K554" t="s">
        <v>96</v>
      </c>
      <c r="L554" s="2">
        <v>2.5099999999999998</v>
      </c>
      <c r="M554" s="2">
        <v>2.6</v>
      </c>
      <c r="N554" s="39" t="s">
        <v>223</v>
      </c>
      <c r="O554" s="1">
        <v>4510</v>
      </c>
      <c r="Q554" s="4">
        <v>0</v>
      </c>
      <c r="R554" s="4">
        <v>0</v>
      </c>
      <c r="S554" s="4">
        <v>5061.6000000000004</v>
      </c>
      <c r="T554" s="4">
        <f>(X554*1.79+Y554*2.68+5.56*Z554+1.82*AA554+50000*(10^-L554)-R554)</f>
        <v>6419.6335216256803</v>
      </c>
      <c r="W554" s="3">
        <v>1546</v>
      </c>
      <c r="X554" s="3">
        <v>50.848999999999997</v>
      </c>
      <c r="Y554" s="4">
        <f t="shared" ref="Y554:Y556" si="441">IF(W554-X554&lt;0,0,W554-X554)</f>
        <v>1495.1510000000001</v>
      </c>
      <c r="Z554" s="3">
        <v>387.9</v>
      </c>
      <c r="AA554" s="3">
        <v>5.6980000000000004</v>
      </c>
      <c r="AB554" s="4">
        <v>5877.81</v>
      </c>
      <c r="AC554" s="3">
        <v>158.6</v>
      </c>
      <c r="AD554" s="8">
        <v>27.99</v>
      </c>
      <c r="AE554" s="8">
        <v>3.86</v>
      </c>
      <c r="AF554" s="3">
        <v>23.71</v>
      </c>
      <c r="AG554" s="3">
        <v>4</v>
      </c>
      <c r="AH554" s="2">
        <v>0.621</v>
      </c>
      <c r="AI554" s="2">
        <v>0.92300000000000004</v>
      </c>
      <c r="AJ554" s="3" t="s">
        <v>159</v>
      </c>
      <c r="AN554" s="1">
        <f>S554*J554*0.012</f>
        <v>485.91360000000003</v>
      </c>
      <c r="AO554" s="1">
        <f>W554*J554*0.012</f>
        <v>148.416</v>
      </c>
      <c r="AP554" s="1">
        <f>Z554*J554*0.012</f>
        <v>37.238399999999999</v>
      </c>
      <c r="AQ554" s="1">
        <f>AA554*J554*0.012</f>
        <v>0.54700800000000005</v>
      </c>
      <c r="AR554" s="1">
        <f>AB554*J554*0.012</f>
        <v>564.26976000000002</v>
      </c>
      <c r="AS554" s="1">
        <f t="shared" si="260"/>
        <v>0</v>
      </c>
    </row>
    <row r="555" spans="1:48" x14ac:dyDescent="0.3">
      <c r="A555" s="5">
        <v>45022</v>
      </c>
      <c r="B555" s="12" t="s">
        <v>37</v>
      </c>
      <c r="C555" t="s">
        <v>221</v>
      </c>
      <c r="E555" t="s">
        <v>222</v>
      </c>
      <c r="F555" s="11"/>
      <c r="G555" s="11"/>
      <c r="H555" t="s">
        <v>256</v>
      </c>
      <c r="J555" s="1">
        <v>109</v>
      </c>
      <c r="K555" t="s">
        <v>96</v>
      </c>
      <c r="L555" s="2">
        <v>3.06</v>
      </c>
      <c r="M555" s="2">
        <v>3</v>
      </c>
      <c r="N555" s="1">
        <v>1252</v>
      </c>
      <c r="O555" s="1">
        <v>1410</v>
      </c>
      <c r="Q555" s="4">
        <v>0</v>
      </c>
      <c r="R555" s="4">
        <v>0</v>
      </c>
      <c r="S555" s="4">
        <v>564.6</v>
      </c>
      <c r="T555" s="4">
        <f t="shared" ref="T555:T557" si="442">(X555*1.79+Y555*2.68+5.56*Z555+1.82*AA555+50000*(10^-L555)-R555)</f>
        <v>597.14302949780392</v>
      </c>
      <c r="W555" s="3">
        <v>94.1</v>
      </c>
      <c r="X555" s="3">
        <v>51.055</v>
      </c>
      <c r="Y555" s="4">
        <f t="shared" si="441"/>
        <v>43.044999999999995</v>
      </c>
      <c r="Z555" s="3">
        <v>61.6</v>
      </c>
      <c r="AA555" s="3">
        <v>2.39</v>
      </c>
      <c r="AB555" s="4">
        <v>804.02</v>
      </c>
      <c r="AC555" s="3">
        <v>78.599999999999994</v>
      </c>
      <c r="AD555" s="8">
        <v>13.3</v>
      </c>
      <c r="AE555" s="8">
        <v>3.1</v>
      </c>
      <c r="AF555" s="3">
        <v>2.4900000000000002</v>
      </c>
      <c r="AG555" s="3">
        <v>5.6</v>
      </c>
      <c r="AH555" s="2">
        <v>0.16200000000000001</v>
      </c>
      <c r="AI555" s="2">
        <v>0.36</v>
      </c>
      <c r="AJ555" s="3" t="s">
        <v>159</v>
      </c>
      <c r="AN555" s="1">
        <f>S555*J555*0.012</f>
        <v>738.49680000000001</v>
      </c>
      <c r="AO555" s="1">
        <f>W555*J555*0.012</f>
        <v>123.08279999999999</v>
      </c>
      <c r="AP555" s="1">
        <f>Z555*J555*0.012</f>
        <v>80.572800000000015</v>
      </c>
      <c r="AQ555" s="1">
        <f>AA555*J555*0.012</f>
        <v>3.1261199999999998</v>
      </c>
      <c r="AR555" s="1">
        <f>AB555*J555*0.012</f>
        <v>1051.65816</v>
      </c>
      <c r="AS555" s="1">
        <f t="shared" si="260"/>
        <v>0</v>
      </c>
    </row>
    <row r="556" spans="1:48" x14ac:dyDescent="0.3">
      <c r="A556" s="5">
        <v>45098</v>
      </c>
      <c r="B556" s="12" t="s">
        <v>67</v>
      </c>
      <c r="C556" t="s">
        <v>221</v>
      </c>
      <c r="E556" t="s">
        <v>222</v>
      </c>
      <c r="F556" s="11"/>
      <c r="G556" s="11"/>
      <c r="H556" t="s">
        <v>93</v>
      </c>
      <c r="J556" s="1">
        <v>0.71</v>
      </c>
      <c r="K556" t="s">
        <v>96</v>
      </c>
      <c r="L556" s="2">
        <v>2.39</v>
      </c>
      <c r="M556" s="2">
        <v>2.6</v>
      </c>
      <c r="N556" s="39" t="s">
        <v>223</v>
      </c>
      <c r="O556" s="1">
        <v>5140</v>
      </c>
      <c r="P556" s="3">
        <v>17.3</v>
      </c>
      <c r="Q556" s="4">
        <v>0</v>
      </c>
      <c r="R556" s="6">
        <v>0</v>
      </c>
      <c r="S556" s="40">
        <v>6208.4</v>
      </c>
      <c r="T556" s="4">
        <f t="shared" si="442"/>
        <v>6655.7397189020558</v>
      </c>
      <c r="U556" s="6"/>
      <c r="V556" s="6"/>
      <c r="W556" s="8">
        <v>1651</v>
      </c>
      <c r="X556" s="8">
        <v>690.62800000000004</v>
      </c>
      <c r="Y556" s="4">
        <f t="shared" si="441"/>
        <v>960.37199999999996</v>
      </c>
      <c r="Z556" s="8">
        <v>473</v>
      </c>
      <c r="AA556" s="8">
        <v>6.6749999999999998</v>
      </c>
      <c r="AB556" s="40">
        <v>7101.27</v>
      </c>
      <c r="AC556" s="6">
        <v>163.5</v>
      </c>
      <c r="AD556" s="6">
        <v>34.659999999999997</v>
      </c>
      <c r="AE556" s="8">
        <v>3.61</v>
      </c>
      <c r="AF556" s="6">
        <v>11.39</v>
      </c>
      <c r="AG556" s="6">
        <v>6.2</v>
      </c>
      <c r="AH556" s="6">
        <v>0.67900000000000005</v>
      </c>
      <c r="AI556" s="41">
        <v>1.103</v>
      </c>
      <c r="AJ556" s="6">
        <v>0.2</v>
      </c>
      <c r="AK556" s="6"/>
      <c r="AL556" s="6"/>
      <c r="AN556" s="1">
        <f>S556*J556*0.012</f>
        <v>52.895567999999997</v>
      </c>
      <c r="AO556" s="1">
        <f>W556*J556*0.012</f>
        <v>14.066520000000001</v>
      </c>
      <c r="AP556" s="1">
        <f>Z556*J556*0.012</f>
        <v>4.02996</v>
      </c>
      <c r="AQ556" s="1">
        <f>AA556*J556*0.012</f>
        <v>5.6870999999999991E-2</v>
      </c>
      <c r="AR556" s="1">
        <f>AB556*J556*0.012</f>
        <v>60.502820400000004</v>
      </c>
      <c r="AS556" s="1">
        <f t="shared" ref="AS556:AS568" si="443">0.012*R556*J556</f>
        <v>0</v>
      </c>
    </row>
    <row r="557" spans="1:48" x14ac:dyDescent="0.3">
      <c r="A557" s="5">
        <v>45169</v>
      </c>
      <c r="B557" s="12" t="s">
        <v>70</v>
      </c>
      <c r="C557" t="s">
        <v>221</v>
      </c>
      <c r="E557" t="s">
        <v>222</v>
      </c>
      <c r="F557" s="11"/>
      <c r="G557" s="11"/>
      <c r="H557" t="s">
        <v>93</v>
      </c>
      <c r="J557" s="1">
        <f>AVERAGE(4.6,5,4.8)</f>
        <v>4.8</v>
      </c>
      <c r="K557" t="s">
        <v>96</v>
      </c>
      <c r="L557" s="2">
        <v>1.93</v>
      </c>
      <c r="M557" s="2">
        <v>2.6</v>
      </c>
      <c r="N557" s="39" t="s">
        <v>223</v>
      </c>
      <c r="O557" s="1">
        <v>4590</v>
      </c>
      <c r="P557" s="3">
        <v>15.4</v>
      </c>
      <c r="Q557" s="4">
        <v>0</v>
      </c>
      <c r="R557" s="4">
        <v>0</v>
      </c>
      <c r="S557" s="4">
        <v>4898.3999999999996</v>
      </c>
      <c r="T557" s="4">
        <f t="shared" si="442"/>
        <v>4027.2925574697647</v>
      </c>
      <c r="W557" s="3">
        <v>149.80000000000001</v>
      </c>
      <c r="X557" s="3">
        <v>828.02200000000005</v>
      </c>
      <c r="Y557" s="4">
        <f>IF(W557-X557&lt;0,0,W557-X557)</f>
        <v>0</v>
      </c>
      <c r="Z557" s="3">
        <v>350</v>
      </c>
      <c r="AA557" s="3">
        <v>6.42</v>
      </c>
      <c r="AB557" s="40">
        <v>5461.11</v>
      </c>
      <c r="AC557" s="8">
        <v>170</v>
      </c>
      <c r="AD557" s="6">
        <v>28.7</v>
      </c>
      <c r="AE557" s="8">
        <v>4.1900000000000004</v>
      </c>
      <c r="AF557" s="6">
        <v>19.3</v>
      </c>
      <c r="AG557" s="8">
        <v>4</v>
      </c>
      <c r="AH557" s="2">
        <v>0.60399999999999998</v>
      </c>
      <c r="AI557" s="2">
        <v>0.873</v>
      </c>
      <c r="AJ557" s="6">
        <v>0.2</v>
      </c>
      <c r="AK557" s="6"/>
      <c r="AL557" s="6"/>
      <c r="AN557" s="1">
        <f>S557*J557*0.012</f>
        <v>282.14783999999997</v>
      </c>
      <c r="AO557" s="1">
        <f>W557*J557*0.012</f>
        <v>8.6284800000000015</v>
      </c>
      <c r="AP557" s="1">
        <f>Z557*J557*0.012</f>
        <v>20.16</v>
      </c>
      <c r="AQ557" s="1">
        <f>AA557*J557*0.012</f>
        <v>0.36979200000000001</v>
      </c>
      <c r="AR557" s="1">
        <f>AB557*J557*0.012</f>
        <v>314.55993599999999</v>
      </c>
      <c r="AS557" s="1">
        <f t="shared" si="443"/>
        <v>0</v>
      </c>
    </row>
    <row r="558" spans="1:48" s="7" customFormat="1" x14ac:dyDescent="0.3">
      <c r="A558" s="45" t="s">
        <v>144</v>
      </c>
      <c r="B558" s="46"/>
      <c r="I558" s="15"/>
      <c r="J558" s="20">
        <f>AVERAGE(J554:J557)</f>
        <v>30.627499999999998</v>
      </c>
      <c r="K558" s="20" t="e">
        <f t="shared" ref="K558:AS558" si="444">AVERAGE(K554:K557)</f>
        <v>#DIV/0!</v>
      </c>
      <c r="L558" s="20">
        <f t="shared" si="444"/>
        <v>2.4725000000000001</v>
      </c>
      <c r="M558" s="20">
        <f t="shared" si="444"/>
        <v>2.6999999999999997</v>
      </c>
      <c r="N558" s="20">
        <f t="shared" si="444"/>
        <v>1252</v>
      </c>
      <c r="O558" s="20">
        <f t="shared" si="444"/>
        <v>3912.5</v>
      </c>
      <c r="P558" s="20">
        <f t="shared" si="444"/>
        <v>16.350000000000001</v>
      </c>
      <c r="Q558" s="20">
        <f t="shared" si="444"/>
        <v>0</v>
      </c>
      <c r="R558" s="20">
        <f t="shared" si="444"/>
        <v>0</v>
      </c>
      <c r="S558" s="20">
        <f t="shared" si="444"/>
        <v>4183.25</v>
      </c>
      <c r="T558" s="20">
        <f t="shared" si="444"/>
        <v>4424.9522068738261</v>
      </c>
      <c r="U558" s="20" t="e">
        <f t="shared" si="444"/>
        <v>#DIV/0!</v>
      </c>
      <c r="V558" s="20" t="e">
        <f t="shared" si="444"/>
        <v>#DIV/0!</v>
      </c>
      <c r="W558" s="20">
        <f t="shared" si="444"/>
        <v>860.22500000000002</v>
      </c>
      <c r="X558" s="20">
        <f t="shared" si="444"/>
        <v>405.13850000000002</v>
      </c>
      <c r="Y558" s="20"/>
      <c r="Z558" s="20">
        <f t="shared" si="444"/>
        <v>318.125</v>
      </c>
      <c r="AA558" s="20">
        <f t="shared" si="444"/>
        <v>5.29575</v>
      </c>
      <c r="AB558" s="20">
        <f t="shared" si="444"/>
        <v>4811.0524999999998</v>
      </c>
      <c r="AC558" s="20">
        <f t="shared" si="444"/>
        <v>142.67500000000001</v>
      </c>
      <c r="AD558" s="20">
        <f t="shared" si="444"/>
        <v>26.162499999999998</v>
      </c>
      <c r="AE558" s="20">
        <f t="shared" si="444"/>
        <v>3.6900000000000004</v>
      </c>
      <c r="AF558" s="20">
        <f t="shared" si="444"/>
        <v>14.2225</v>
      </c>
      <c r="AG558" s="20">
        <f t="shared" si="444"/>
        <v>4.95</v>
      </c>
      <c r="AH558" s="20">
        <f t="shared" si="444"/>
        <v>0.51650000000000007</v>
      </c>
      <c r="AI558" s="20">
        <f t="shared" si="444"/>
        <v>0.81475000000000009</v>
      </c>
      <c r="AJ558" s="20">
        <f t="shared" si="444"/>
        <v>0.2</v>
      </c>
      <c r="AK558" s="20"/>
      <c r="AL558" s="20"/>
      <c r="AM558" s="20"/>
      <c r="AN558" s="20">
        <f t="shared" si="444"/>
        <v>389.86345199999994</v>
      </c>
      <c r="AO558" s="20">
        <f t="shared" si="444"/>
        <v>73.548450000000003</v>
      </c>
      <c r="AP558" s="20">
        <f t="shared" si="444"/>
        <v>35.500290000000007</v>
      </c>
      <c r="AQ558" s="20">
        <f t="shared" si="444"/>
        <v>1.0249477499999999</v>
      </c>
      <c r="AR558" s="20">
        <f t="shared" si="444"/>
        <v>497.74766910000005</v>
      </c>
      <c r="AS558" s="20">
        <f t="shared" si="444"/>
        <v>0</v>
      </c>
    </row>
    <row r="559" spans="1:48" s="7" customFormat="1" x14ac:dyDescent="0.3">
      <c r="A559" s="45"/>
      <c r="B559" s="46"/>
      <c r="I559" s="15"/>
      <c r="J559" s="20"/>
      <c r="K559" s="20"/>
      <c r="L559" s="50"/>
      <c r="M559" s="20"/>
      <c r="N559" s="20"/>
      <c r="O559" s="20"/>
      <c r="P559" s="20"/>
      <c r="Q559" s="20"/>
      <c r="R559" s="20"/>
      <c r="S559" s="20"/>
      <c r="T559" s="20"/>
      <c r="U559" s="20"/>
      <c r="V559" s="20"/>
      <c r="W559" s="30"/>
      <c r="X559" s="30"/>
      <c r="Y559" s="30"/>
      <c r="Z559" s="32"/>
      <c r="AA559" s="30"/>
      <c r="AB559" s="20"/>
      <c r="AC559" s="32"/>
      <c r="AD559" s="32"/>
      <c r="AE559" s="32"/>
      <c r="AF559" s="32"/>
      <c r="AG559" s="32"/>
      <c r="AH559" s="15"/>
      <c r="AI559" s="15"/>
      <c r="AJ559" s="32"/>
      <c r="AK559" s="32"/>
      <c r="AL559" s="32"/>
      <c r="AM559" s="32"/>
      <c r="AN559" s="20"/>
      <c r="AO559" s="20"/>
      <c r="AP559" s="20"/>
      <c r="AQ559" s="20"/>
      <c r="AR559" s="20"/>
      <c r="AS559" s="1"/>
    </row>
    <row r="560" spans="1:48" x14ac:dyDescent="0.3">
      <c r="A560" s="5">
        <v>44964</v>
      </c>
      <c r="B560" s="12" t="s">
        <v>224</v>
      </c>
      <c r="C560" t="s">
        <v>225</v>
      </c>
      <c r="E560" t="s">
        <v>226</v>
      </c>
      <c r="H560" t="s">
        <v>218</v>
      </c>
      <c r="J560" s="1">
        <v>49</v>
      </c>
      <c r="K560" t="s">
        <v>96</v>
      </c>
      <c r="L560" s="2">
        <v>3.03</v>
      </c>
      <c r="M560" s="2">
        <v>3.1</v>
      </c>
      <c r="N560" s="1">
        <v>1577</v>
      </c>
      <c r="O560" s="1">
        <v>1586</v>
      </c>
      <c r="Q560" s="4">
        <v>0</v>
      </c>
      <c r="R560" s="4">
        <v>0</v>
      </c>
      <c r="S560" s="4">
        <v>722.8</v>
      </c>
      <c r="T560" s="10">
        <f>(X560*1.79+Y560*2.68+5.56*Z560+1.82*AA560+50000*(10^-L560)-R560)</f>
        <v>2040.1634850398495</v>
      </c>
      <c r="W560" s="3">
        <v>70.87</v>
      </c>
      <c r="X560" s="22">
        <v>838.02499999999998</v>
      </c>
      <c r="Y560" s="4">
        <f t="shared" ref="Y560:Y563" si="445">IF(W560-X560&lt;0,0,W560-X560)</f>
        <v>0</v>
      </c>
      <c r="Z560" s="3">
        <v>87.5</v>
      </c>
      <c r="AA560" s="3">
        <v>3.8109999999999999</v>
      </c>
      <c r="AB560" s="4">
        <v>1132.8499999999999</v>
      </c>
      <c r="AC560" s="3">
        <v>131</v>
      </c>
      <c r="AD560" s="3">
        <v>18.54</v>
      </c>
      <c r="AE560" s="3">
        <v>3.55</v>
      </c>
      <c r="AF560" s="3">
        <v>2.17</v>
      </c>
      <c r="AG560" s="3">
        <v>5.0999999999999996</v>
      </c>
      <c r="AH560" s="2">
        <v>0.25800000000000001</v>
      </c>
      <c r="AI560" s="2">
        <v>0.60899999999999999</v>
      </c>
      <c r="AJ560" s="3" t="s">
        <v>159</v>
      </c>
      <c r="AN560" s="1">
        <f>S560*J560*0.012</f>
        <v>425.00639999999999</v>
      </c>
      <c r="AO560" s="1">
        <f>W560*J560*0.012</f>
        <v>41.671559999999999</v>
      </c>
      <c r="AP560" s="1">
        <f>Z560*J560*0.012</f>
        <v>51.45</v>
      </c>
      <c r="AQ560" s="1">
        <f>AA560*J560*0.012</f>
        <v>2.2408680000000003</v>
      </c>
      <c r="AR560" s="1">
        <f>AB560*J560*0.012</f>
        <v>666.11579999999992</v>
      </c>
      <c r="AS560" s="1">
        <f t="shared" si="443"/>
        <v>0</v>
      </c>
    </row>
    <row r="561" spans="1:48" x14ac:dyDescent="0.3">
      <c r="A561" s="5">
        <v>45022</v>
      </c>
      <c r="B561" s="12" t="s">
        <v>40</v>
      </c>
      <c r="C561" t="s">
        <v>225</v>
      </c>
      <c r="E561" t="s">
        <v>226</v>
      </c>
      <c r="H561" t="s">
        <v>256</v>
      </c>
      <c r="J561" s="1">
        <v>87</v>
      </c>
      <c r="K561" t="s">
        <v>96</v>
      </c>
      <c r="L561" s="2">
        <v>6.57</v>
      </c>
      <c r="M561" s="2">
        <v>6.4</v>
      </c>
      <c r="N561" s="1">
        <v>231</v>
      </c>
      <c r="O561" s="1">
        <v>239</v>
      </c>
      <c r="R561" s="4">
        <v>42</v>
      </c>
      <c r="S561" s="4">
        <v>-33.4</v>
      </c>
      <c r="T561" s="4">
        <f t="shared" ref="T561:T563" si="446">(X561*1.79+Y561*2.68+5.56*Z561+1.82*AA561+50000*(10^-L561)-R561)</f>
        <v>-36.010802325980364</v>
      </c>
      <c r="W561" s="3">
        <v>0.40799999999999997</v>
      </c>
      <c r="X561" s="22">
        <v>0.05</v>
      </c>
      <c r="Y561" s="4">
        <f t="shared" si="445"/>
        <v>0.35799999999999998</v>
      </c>
      <c r="Z561" s="3">
        <v>0.85599999999999998</v>
      </c>
      <c r="AA561" s="3">
        <v>9.1999999999999998E-2</v>
      </c>
      <c r="AB561" s="4">
        <v>57.12</v>
      </c>
      <c r="AC561" s="3">
        <v>30.6</v>
      </c>
      <c r="AD561" s="3">
        <v>8.1199999999999992</v>
      </c>
      <c r="AE561" s="3">
        <v>3.51</v>
      </c>
      <c r="AF561" s="3">
        <v>1.54</v>
      </c>
      <c r="AG561" s="3">
        <v>10.199999999999999</v>
      </c>
      <c r="AH561" s="2" t="s">
        <v>161</v>
      </c>
      <c r="AI561" s="2" t="s">
        <v>162</v>
      </c>
      <c r="AJ561" s="3" t="s">
        <v>159</v>
      </c>
      <c r="AN561" s="1">
        <f>S561*J561*0.012</f>
        <v>-34.869599999999998</v>
      </c>
      <c r="AO561" s="1">
        <f>W561*J561*0.012</f>
        <v>0.42595199999999994</v>
      </c>
      <c r="AP561" s="1">
        <f>Z561*J561*0.012</f>
        <v>0.8936639999999999</v>
      </c>
      <c r="AQ561" s="1">
        <f>AA561*J561*0.012</f>
        <v>9.6047999999999994E-2</v>
      </c>
      <c r="AR561" s="1">
        <f>AB561*J561*0.012</f>
        <v>59.633279999999999</v>
      </c>
      <c r="AS561" s="1">
        <f t="shared" si="443"/>
        <v>43.847999999999999</v>
      </c>
    </row>
    <row r="562" spans="1:48" x14ac:dyDescent="0.3">
      <c r="A562" s="5">
        <v>45098</v>
      </c>
      <c r="B562" s="12" t="s">
        <v>70</v>
      </c>
      <c r="C562" t="s">
        <v>225</v>
      </c>
      <c r="E562" t="s">
        <v>226</v>
      </c>
      <c r="H562" t="s">
        <v>93</v>
      </c>
      <c r="J562" s="1">
        <v>11.7</v>
      </c>
      <c r="K562" t="s">
        <v>96</v>
      </c>
      <c r="L562" s="2">
        <v>2.54</v>
      </c>
      <c r="M562" s="2">
        <v>2.7</v>
      </c>
      <c r="N562" s="1">
        <v>2913</v>
      </c>
      <c r="O562" s="1">
        <v>3390</v>
      </c>
      <c r="P562" s="3">
        <v>17.7</v>
      </c>
      <c r="Q562" s="4">
        <v>0</v>
      </c>
      <c r="R562" s="6">
        <v>0</v>
      </c>
      <c r="S562" s="6">
        <v>1813</v>
      </c>
      <c r="T562" s="4">
        <f>(X562*1.79+Y562*2.68+5.56*Z562+1.82*AA562+50000*(10^-L562)-R562)</f>
        <v>1846.0299151563299</v>
      </c>
      <c r="U562" s="6"/>
      <c r="V562" s="6"/>
      <c r="W562" s="8">
        <v>120.3</v>
      </c>
      <c r="X562" s="8">
        <v>8.9139999999999997</v>
      </c>
      <c r="Y562" s="4">
        <f t="shared" si="445"/>
        <v>111.386</v>
      </c>
      <c r="Z562" s="8">
        <v>245.6</v>
      </c>
      <c r="AA562" s="8">
        <v>11.99</v>
      </c>
      <c r="AB562" s="40">
        <v>2967.06</v>
      </c>
      <c r="AC562" s="6">
        <v>328.3</v>
      </c>
      <c r="AD562" s="6">
        <v>49.82</v>
      </c>
      <c r="AE562" s="8">
        <v>5.96</v>
      </c>
      <c r="AF562" s="8">
        <v>2.66</v>
      </c>
      <c r="AG562" s="6">
        <v>4.0999999999999996</v>
      </c>
      <c r="AH562" s="6">
        <v>0.71799999999999997</v>
      </c>
      <c r="AI562" s="41">
        <v>1.7609999999999999</v>
      </c>
      <c r="AJ562" s="6">
        <v>0.2</v>
      </c>
      <c r="AK562" s="6"/>
      <c r="AL562" s="6"/>
      <c r="AN562" s="1">
        <f>S562*J562*0.012</f>
        <v>254.54519999999999</v>
      </c>
      <c r="AO562" s="1">
        <f>W562*J562*0.012</f>
        <v>16.89012</v>
      </c>
      <c r="AP562" s="1">
        <f>Z562*J562*0.012</f>
        <v>34.482239999999997</v>
      </c>
      <c r="AQ562" s="1">
        <f>AA562*J562*0.012</f>
        <v>1.6833959999999999</v>
      </c>
      <c r="AR562" s="1">
        <f>AB562*J562*0.012</f>
        <v>416.57522399999999</v>
      </c>
      <c r="AS562" s="1">
        <f t="shared" si="443"/>
        <v>0</v>
      </c>
    </row>
    <row r="563" spans="1:48" x14ac:dyDescent="0.3">
      <c r="A563" s="5">
        <v>45169</v>
      </c>
      <c r="B563" s="12" t="s">
        <v>73</v>
      </c>
      <c r="C563" t="s">
        <v>225</v>
      </c>
      <c r="E563" t="s">
        <v>226</v>
      </c>
      <c r="H563" t="s">
        <v>93</v>
      </c>
      <c r="J563" s="1">
        <f>AVERAGE(33.4,32.4,33.7,34.7)</f>
        <v>33.549999999999997</v>
      </c>
      <c r="K563" t="s">
        <v>96</v>
      </c>
      <c r="L563" s="2">
        <v>2.15</v>
      </c>
      <c r="M563" s="2">
        <v>2.9</v>
      </c>
      <c r="N563" s="1">
        <v>2066</v>
      </c>
      <c r="O563" s="1">
        <v>2050</v>
      </c>
      <c r="P563" s="3">
        <v>16.2</v>
      </c>
      <c r="R563" s="4">
        <v>0</v>
      </c>
      <c r="S563" s="4">
        <v>932.2</v>
      </c>
      <c r="T563" s="4">
        <f t="shared" si="446"/>
        <v>1185.2909921920689</v>
      </c>
      <c r="W563" s="3">
        <v>62.1</v>
      </c>
      <c r="X563" s="22">
        <v>9.17</v>
      </c>
      <c r="Y563" s="4">
        <f t="shared" si="445"/>
        <v>52.93</v>
      </c>
      <c r="Z563" s="3">
        <v>119</v>
      </c>
      <c r="AA563" s="3">
        <v>6.27</v>
      </c>
      <c r="AB563" s="40">
        <v>1465.83</v>
      </c>
      <c r="AC563" s="8">
        <v>179</v>
      </c>
      <c r="AD563" s="6">
        <v>25.3</v>
      </c>
      <c r="AE563" s="8">
        <v>3.85</v>
      </c>
      <c r="AF563" s="8">
        <v>2.57</v>
      </c>
      <c r="AG563" s="8">
        <v>4</v>
      </c>
      <c r="AH563" s="2">
        <v>0.33600000000000002</v>
      </c>
      <c r="AI563" s="2">
        <v>0.83499999999999996</v>
      </c>
      <c r="AJ563" s="3">
        <v>0.2</v>
      </c>
      <c r="AN563" s="1">
        <f>S563*J563*0.012</f>
        <v>375.30372</v>
      </c>
      <c r="AO563" s="1">
        <f>W563*J563*0.012</f>
        <v>25.001459999999998</v>
      </c>
      <c r="AP563" s="1">
        <f>Z563*J563*0.012</f>
        <v>47.909399999999998</v>
      </c>
      <c r="AQ563" s="1">
        <f>AA563*J563*0.012</f>
        <v>2.5243019999999996</v>
      </c>
      <c r="AR563" s="1">
        <f>AB563*J563*0.012</f>
        <v>590.14315799999997</v>
      </c>
      <c r="AS563" s="1">
        <f t="shared" si="443"/>
        <v>0</v>
      </c>
    </row>
    <row r="564" spans="1:48" s="7" customFormat="1" x14ac:dyDescent="0.3">
      <c r="A564" s="45" t="s">
        <v>144</v>
      </c>
      <c r="B564" s="46"/>
      <c r="I564" s="15"/>
      <c r="J564" s="20">
        <f>AVERAGE(J560:J563)</f>
        <v>45.3125</v>
      </c>
      <c r="K564" s="20" t="e">
        <f t="shared" ref="K564:AS564" si="447">AVERAGE(K560:K563)</f>
        <v>#DIV/0!</v>
      </c>
      <c r="L564" s="20">
        <f t="shared" si="447"/>
        <v>3.5725000000000002</v>
      </c>
      <c r="M564" s="20">
        <f t="shared" si="447"/>
        <v>3.7749999999999999</v>
      </c>
      <c r="N564" s="20">
        <f t="shared" si="447"/>
        <v>1696.75</v>
      </c>
      <c r="O564" s="20">
        <f t="shared" si="447"/>
        <v>1816.25</v>
      </c>
      <c r="P564" s="20">
        <f t="shared" si="447"/>
        <v>16.95</v>
      </c>
      <c r="Q564" s="20">
        <f t="shared" si="447"/>
        <v>0</v>
      </c>
      <c r="R564" s="20">
        <f t="shared" si="447"/>
        <v>10.5</v>
      </c>
      <c r="S564" s="20">
        <f t="shared" si="447"/>
        <v>858.65000000000009</v>
      </c>
      <c r="T564" s="20">
        <f t="shared" si="447"/>
        <v>1258.868397515567</v>
      </c>
      <c r="U564" s="20" t="e">
        <f t="shared" si="447"/>
        <v>#DIV/0!</v>
      </c>
      <c r="V564" s="20" t="e">
        <f t="shared" si="447"/>
        <v>#DIV/0!</v>
      </c>
      <c r="W564" s="20">
        <f t="shared" si="447"/>
        <v>63.419499999999999</v>
      </c>
      <c r="X564" s="20">
        <f t="shared" si="447"/>
        <v>214.03974999999997</v>
      </c>
      <c r="Y564" s="20"/>
      <c r="Z564" s="20">
        <f t="shared" si="447"/>
        <v>113.239</v>
      </c>
      <c r="AA564" s="20">
        <f t="shared" si="447"/>
        <v>5.5407500000000001</v>
      </c>
      <c r="AB564" s="20">
        <f t="shared" si="447"/>
        <v>1405.7149999999999</v>
      </c>
      <c r="AC564" s="20">
        <f t="shared" si="447"/>
        <v>167.22499999999999</v>
      </c>
      <c r="AD564" s="20">
        <f t="shared" si="447"/>
        <v>25.444999999999997</v>
      </c>
      <c r="AE564" s="20">
        <f t="shared" si="447"/>
        <v>4.2175000000000002</v>
      </c>
      <c r="AF564" s="20">
        <f t="shared" si="447"/>
        <v>2.2349999999999999</v>
      </c>
      <c r="AG564" s="20">
        <f t="shared" si="447"/>
        <v>5.85</v>
      </c>
      <c r="AH564" s="20">
        <f t="shared" si="447"/>
        <v>0.43733333333333335</v>
      </c>
      <c r="AI564" s="20">
        <f t="shared" si="447"/>
        <v>1.0683333333333334</v>
      </c>
      <c r="AJ564" s="20">
        <f t="shared" si="447"/>
        <v>0.2</v>
      </c>
      <c r="AK564" s="20"/>
      <c r="AL564" s="20"/>
      <c r="AM564" s="20"/>
      <c r="AN564" s="20">
        <f t="shared" si="447"/>
        <v>254.99643</v>
      </c>
      <c r="AO564" s="20">
        <f t="shared" si="447"/>
        <v>20.997273</v>
      </c>
      <c r="AP564" s="20">
        <f t="shared" si="447"/>
        <v>33.683826000000003</v>
      </c>
      <c r="AQ564" s="20">
        <f t="shared" si="447"/>
        <v>1.6361535</v>
      </c>
      <c r="AR564" s="20">
        <f t="shared" si="447"/>
        <v>433.11686550000002</v>
      </c>
      <c r="AS564" s="20">
        <f t="shared" si="447"/>
        <v>10.962</v>
      </c>
    </row>
    <row r="565" spans="1:48" x14ac:dyDescent="0.3">
      <c r="T565" s="18"/>
      <c r="X565" s="22"/>
      <c r="Y565" s="22"/>
    </row>
    <row r="566" spans="1:48" x14ac:dyDescent="0.3">
      <c r="A566" s="5">
        <v>45022</v>
      </c>
      <c r="B566" s="12" t="s">
        <v>43</v>
      </c>
      <c r="C566" t="s">
        <v>263</v>
      </c>
      <c r="E566" t="s">
        <v>264</v>
      </c>
      <c r="H566" t="s">
        <v>256</v>
      </c>
      <c r="J566" s="1">
        <v>23</v>
      </c>
      <c r="K566" t="s">
        <v>96</v>
      </c>
      <c r="L566" s="2">
        <v>6.88</v>
      </c>
      <c r="M566" s="2">
        <v>6.7</v>
      </c>
      <c r="N566" s="1">
        <v>245</v>
      </c>
      <c r="O566" s="1">
        <v>260</v>
      </c>
      <c r="R566" s="4">
        <v>62.8</v>
      </c>
      <c r="S566" s="4">
        <v>-53.2</v>
      </c>
      <c r="T566" s="18" cm="1">
        <f t="array" ref="T566">_xlfn.IFS(L566&lt;=5,IF(ISNUMBER(X566)=TRUE,X566*1.79+AA566*1.8+Z566*5.56+50000*(10^-L566)-R566,1.79+AA566*1.8+Z566*5.56+50000*(10^-L566)-R566),L566&gt;5,IF(ISNUMBER(X566)=TRUE,X566*1.79+AA566*1.8+50000*(10^-L566)-R566,AA566*1.8+50000*(10^-L566)-R566))</f>
        <v>-62.592628716307217</v>
      </c>
      <c r="W566" s="3">
        <v>0.82099999999999995</v>
      </c>
      <c r="X566" s="22">
        <v>8.2000000000000003E-2</v>
      </c>
      <c r="Y566" s="22"/>
      <c r="Z566" s="3">
        <v>0.63</v>
      </c>
      <c r="AA566" s="3">
        <v>0.03</v>
      </c>
      <c r="AB566" s="4">
        <v>31.23</v>
      </c>
      <c r="AC566" s="3">
        <v>26.9</v>
      </c>
      <c r="AD566" s="3">
        <v>6.94</v>
      </c>
      <c r="AE566" s="3">
        <v>17</v>
      </c>
      <c r="AF566" s="3">
        <v>1.58</v>
      </c>
      <c r="AG566" s="3">
        <v>22</v>
      </c>
      <c r="AH566" s="2" t="s">
        <v>161</v>
      </c>
      <c r="AI566" s="2" t="s">
        <v>162</v>
      </c>
      <c r="AJ566" s="3" t="s">
        <v>159</v>
      </c>
      <c r="AN566" s="1">
        <f>S566*J566*0.012</f>
        <v>-14.683200000000001</v>
      </c>
      <c r="AO566" s="1">
        <f>W566*J566*0.012</f>
        <v>0.22659599999999999</v>
      </c>
      <c r="AP566" s="1">
        <f>Z566*J566*0.012</f>
        <v>0.17388000000000001</v>
      </c>
      <c r="AQ566" s="1">
        <f>AA566*J566*0.012</f>
        <v>8.2799999999999992E-3</v>
      </c>
      <c r="AR566" s="1">
        <f>AB566*J566*0.012</f>
        <v>8.6194799999999994</v>
      </c>
      <c r="AS566" s="1">
        <f t="shared" si="443"/>
        <v>17.332799999999999</v>
      </c>
    </row>
    <row r="567" spans="1:48" x14ac:dyDescent="0.3">
      <c r="A567" s="5">
        <v>45098</v>
      </c>
      <c r="B567" s="12" t="s">
        <v>73</v>
      </c>
      <c r="C567" t="s">
        <v>263</v>
      </c>
      <c r="E567" t="s">
        <v>264</v>
      </c>
      <c r="H567" t="s">
        <v>93</v>
      </c>
      <c r="J567" s="1">
        <v>0</v>
      </c>
      <c r="K567" t="s">
        <v>96</v>
      </c>
      <c r="T567" s="18"/>
      <c r="X567" s="22"/>
      <c r="Y567" s="22"/>
      <c r="AN567" s="1">
        <f>S567*J567*0.012</f>
        <v>0</v>
      </c>
      <c r="AO567" s="1">
        <f>W567*J567*0.012</f>
        <v>0</v>
      </c>
      <c r="AP567" s="1">
        <f>Z567*J567*0.012</f>
        <v>0</v>
      </c>
      <c r="AQ567" s="1">
        <f>AA567*J567*0.012</f>
        <v>0</v>
      </c>
      <c r="AR567" s="1">
        <f>AB567*J567*0.012</f>
        <v>0</v>
      </c>
      <c r="AS567" s="1">
        <f t="shared" si="443"/>
        <v>0</v>
      </c>
    </row>
    <row r="568" spans="1:48" x14ac:dyDescent="0.3">
      <c r="A568" s="5">
        <v>45169</v>
      </c>
      <c r="B568" s="12" t="s">
        <v>67</v>
      </c>
      <c r="C568" t="s">
        <v>263</v>
      </c>
      <c r="E568" t="s">
        <v>264</v>
      </c>
      <c r="H568" t="s">
        <v>93</v>
      </c>
      <c r="J568" s="1">
        <f>AVERAGE(31,30.9,31.9)</f>
        <v>31.266666666666666</v>
      </c>
      <c r="K568" t="s">
        <v>96</v>
      </c>
      <c r="L568" s="2">
        <v>6.63</v>
      </c>
      <c r="M568" s="2">
        <v>7</v>
      </c>
      <c r="N568" s="1">
        <v>321</v>
      </c>
      <c r="O568" s="6">
        <v>333</v>
      </c>
      <c r="P568" s="3">
        <v>16.5</v>
      </c>
      <c r="R568" s="4">
        <v>61.6</v>
      </c>
      <c r="S568" s="4">
        <v>-53.6</v>
      </c>
      <c r="T568" s="18" cm="1">
        <f t="array" ref="T568">_xlfn.IFS(L568&lt;=5,IF(ISNUMBER(X568)=TRUE,X568*1.79+AA568*1.8+Z568*5.56+50000*(10^-L568)-R568,1.79+AA568*1.8+Z568*5.56+50000*(10^-L568)-R568),L568&gt;5,IF(ISNUMBER(X568)=TRUE,X568*1.79+AA568*1.8+50000*(10^-L568)-R568,AA568*1.8+50000*(10^-L568)-R568))</f>
        <v>-61.426778855923402</v>
      </c>
      <c r="W568" s="3">
        <v>0.1</v>
      </c>
      <c r="X568" s="22">
        <v>0.05</v>
      </c>
      <c r="Y568" s="22"/>
      <c r="Z568" s="3">
        <v>0.3</v>
      </c>
      <c r="AA568" s="3">
        <v>0.04</v>
      </c>
      <c r="AB568" s="4">
        <v>77.3</v>
      </c>
      <c r="AC568" s="6">
        <v>45.7</v>
      </c>
      <c r="AD568" s="6">
        <v>10.4</v>
      </c>
      <c r="AE568" s="8">
        <v>4.03</v>
      </c>
      <c r="AF568" s="8">
        <v>1.98</v>
      </c>
      <c r="AG568" s="6">
        <v>10.1</v>
      </c>
      <c r="AH568" s="2">
        <v>0.05</v>
      </c>
      <c r="AI568" s="2">
        <v>0.03</v>
      </c>
      <c r="AJ568" s="3">
        <v>0.2</v>
      </c>
      <c r="AN568" s="1">
        <f>S568*J568*0.012</f>
        <v>-20.110720000000001</v>
      </c>
      <c r="AO568" s="1">
        <f>W568*J568*0.012</f>
        <v>3.7520000000000005E-2</v>
      </c>
      <c r="AP568" s="1">
        <f>Z568*J568*0.012</f>
        <v>0.11255999999999999</v>
      </c>
      <c r="AQ568" s="1">
        <f>AA568*J568*0.012</f>
        <v>1.5007999999999999E-2</v>
      </c>
      <c r="AR568" s="1">
        <f>AB568*J568*0.012</f>
        <v>29.002959999999995</v>
      </c>
      <c r="AS568" s="1">
        <f t="shared" si="443"/>
        <v>23.11232</v>
      </c>
    </row>
    <row r="569" spans="1:48" s="7" customFormat="1" x14ac:dyDescent="0.3">
      <c r="A569" s="45" t="s">
        <v>144</v>
      </c>
      <c r="B569" s="46"/>
      <c r="I569" s="15"/>
      <c r="J569" s="20">
        <f>AVERAGE(J566:J568)</f>
        <v>18.088888888888889</v>
      </c>
      <c r="K569" s="20" t="e">
        <f t="shared" ref="K569:AS569" si="448">AVERAGE(K566:K568)</f>
        <v>#DIV/0!</v>
      </c>
      <c r="L569" s="20">
        <f t="shared" si="448"/>
        <v>6.7549999999999999</v>
      </c>
      <c r="M569" s="20">
        <f t="shared" si="448"/>
        <v>6.85</v>
      </c>
      <c r="N569" s="20">
        <f t="shared" si="448"/>
        <v>283</v>
      </c>
      <c r="O569" s="20">
        <f t="shared" si="448"/>
        <v>296.5</v>
      </c>
      <c r="P569" s="20">
        <f t="shared" si="448"/>
        <v>16.5</v>
      </c>
      <c r="Q569" s="20" t="e">
        <f t="shared" si="448"/>
        <v>#DIV/0!</v>
      </c>
      <c r="R569" s="20">
        <f t="shared" si="448"/>
        <v>62.2</v>
      </c>
      <c r="S569" s="20">
        <f t="shared" si="448"/>
        <v>-53.400000000000006</v>
      </c>
      <c r="T569" s="20">
        <f t="shared" si="448"/>
        <v>-62.00970378611531</v>
      </c>
      <c r="U569" s="20" t="e">
        <f t="shared" si="448"/>
        <v>#DIV/0!</v>
      </c>
      <c r="V569" s="20" t="e">
        <f t="shared" si="448"/>
        <v>#DIV/0!</v>
      </c>
      <c r="W569" s="20">
        <f t="shared" si="448"/>
        <v>0.46049999999999996</v>
      </c>
      <c r="X569" s="20">
        <f t="shared" si="448"/>
        <v>6.6000000000000003E-2</v>
      </c>
      <c r="Y569" s="20"/>
      <c r="Z569" s="20">
        <f t="shared" si="448"/>
        <v>0.46499999999999997</v>
      </c>
      <c r="AA569" s="20">
        <f t="shared" si="448"/>
        <v>3.5000000000000003E-2</v>
      </c>
      <c r="AB569" s="20">
        <f t="shared" si="448"/>
        <v>54.265000000000001</v>
      </c>
      <c r="AC569" s="20">
        <f t="shared" si="448"/>
        <v>36.299999999999997</v>
      </c>
      <c r="AD569" s="20">
        <f t="shared" si="448"/>
        <v>8.67</v>
      </c>
      <c r="AE569" s="20">
        <f t="shared" si="448"/>
        <v>10.515000000000001</v>
      </c>
      <c r="AF569" s="20">
        <f t="shared" si="448"/>
        <v>1.78</v>
      </c>
      <c r="AG569" s="20">
        <f t="shared" si="448"/>
        <v>16.05</v>
      </c>
      <c r="AH569" s="20">
        <f t="shared" si="448"/>
        <v>0.05</v>
      </c>
      <c r="AI569" s="20">
        <f t="shared" si="448"/>
        <v>0.03</v>
      </c>
      <c r="AJ569" s="20">
        <f t="shared" si="448"/>
        <v>0.2</v>
      </c>
      <c r="AK569" s="20"/>
      <c r="AL569" s="20"/>
      <c r="AM569" s="20"/>
      <c r="AN569" s="20">
        <f t="shared" si="448"/>
        <v>-11.597973333333334</v>
      </c>
      <c r="AO569" s="20">
        <f t="shared" si="448"/>
        <v>8.8038666666666668E-2</v>
      </c>
      <c r="AP569" s="20">
        <f t="shared" si="448"/>
        <v>9.5480000000000009E-2</v>
      </c>
      <c r="AQ569" s="20">
        <f t="shared" si="448"/>
        <v>7.7626666666666651E-3</v>
      </c>
      <c r="AR569" s="20">
        <f t="shared" si="448"/>
        <v>12.540813333333332</v>
      </c>
      <c r="AS569" s="20">
        <f t="shared" si="448"/>
        <v>13.481706666666668</v>
      </c>
    </row>
    <row r="570" spans="1:48" x14ac:dyDescent="0.3">
      <c r="F570" s="11"/>
      <c r="G570" s="11"/>
      <c r="AD570" s="8"/>
      <c r="AE570" s="8"/>
      <c r="AU570" s="13"/>
      <c r="AV570" s="13"/>
    </row>
    <row r="571" spans="1:48" x14ac:dyDescent="0.3">
      <c r="A571" s="5">
        <v>44964</v>
      </c>
      <c r="B571" s="12" t="s">
        <v>228</v>
      </c>
      <c r="C571" t="s">
        <v>229</v>
      </c>
      <c r="E571" t="s">
        <v>370</v>
      </c>
      <c r="F571" s="11"/>
      <c r="G571" s="11"/>
      <c r="H571" t="s">
        <v>218</v>
      </c>
      <c r="J571" s="1">
        <v>62</v>
      </c>
      <c r="K571" t="s">
        <v>96</v>
      </c>
      <c r="L571" s="2">
        <v>3.08</v>
      </c>
      <c r="M571" s="2">
        <v>3.1</v>
      </c>
      <c r="N571" s="1">
        <v>986</v>
      </c>
      <c r="O571" s="1">
        <v>919</v>
      </c>
      <c r="Q571" s="4">
        <v>0</v>
      </c>
      <c r="R571" s="4">
        <v>0</v>
      </c>
      <c r="S571" s="4">
        <v>205</v>
      </c>
      <c r="T571" s="4">
        <f>(X571*1.79+Y571*2.68+5.56*Z571+1.82*AA571+50000*(10^-L571)-R571)</f>
        <v>181.06801855513351</v>
      </c>
      <c r="W571" s="3">
        <v>9.2899999999999991</v>
      </c>
      <c r="X571" s="3">
        <v>0.373</v>
      </c>
      <c r="Y571" s="4">
        <f t="shared" ref="Y571:Y585" si="449">IF(W571-X571&lt;0,0,W571-X571)</f>
        <v>8.9169999999999998</v>
      </c>
      <c r="Z571" s="3">
        <v>20.2</v>
      </c>
      <c r="AA571" s="3">
        <v>1.43</v>
      </c>
      <c r="AB571" s="4">
        <v>475.51</v>
      </c>
      <c r="AC571" s="3">
        <v>65.099999999999994</v>
      </c>
      <c r="AD571" s="8">
        <v>28.6</v>
      </c>
      <c r="AE571" s="8">
        <v>1.31</v>
      </c>
      <c r="AF571" s="3">
        <v>1.21</v>
      </c>
      <c r="AG571" s="3">
        <v>4</v>
      </c>
      <c r="AH571" s="2">
        <v>0.125</v>
      </c>
      <c r="AI571" s="2">
        <v>0.20499999999999999</v>
      </c>
      <c r="AJ571" s="3" t="s">
        <v>159</v>
      </c>
      <c r="AN571" s="1">
        <f>S571*J571*0.012</f>
        <v>152.52000000000001</v>
      </c>
      <c r="AO571" s="1">
        <f>W571*J571*0.012</f>
        <v>6.9117599999999992</v>
      </c>
      <c r="AP571" s="1">
        <f>Z571*J571*0.012</f>
        <v>15.028799999999999</v>
      </c>
      <c r="AQ571" s="1">
        <f>AA571*J571*0.012</f>
        <v>1.06392</v>
      </c>
      <c r="AR571" s="1">
        <f>AB571*J571*0.012</f>
        <v>353.77944000000002</v>
      </c>
      <c r="AS571" s="1">
        <f>R571*J571*0.012</f>
        <v>0</v>
      </c>
    </row>
    <row r="572" spans="1:48" x14ac:dyDescent="0.3">
      <c r="A572" s="5">
        <v>45022</v>
      </c>
      <c r="B572" s="12" t="s">
        <v>50</v>
      </c>
      <c r="C572" t="s">
        <v>246</v>
      </c>
      <c r="E572" t="s">
        <v>370</v>
      </c>
      <c r="H572" t="s">
        <v>218</v>
      </c>
      <c r="J572" s="1">
        <v>62</v>
      </c>
      <c r="K572" t="s">
        <v>96</v>
      </c>
      <c r="L572" s="2">
        <v>3.15</v>
      </c>
      <c r="M572" s="2">
        <v>3.2</v>
      </c>
      <c r="N572" s="1">
        <v>727</v>
      </c>
      <c r="O572" s="1">
        <v>734</v>
      </c>
      <c r="Q572" s="4">
        <v>0</v>
      </c>
      <c r="R572" s="4">
        <v>0</v>
      </c>
      <c r="S572" s="4">
        <v>152</v>
      </c>
      <c r="T572" s="4">
        <f t="shared" ref="T572:T585" si="450">(X572*1.79+Y572*2.68+5.56*Z572+1.82*AA572+50000*(10^-L572)-R572)</f>
        <v>139.7875292192069</v>
      </c>
      <c r="W572" s="3">
        <v>6.55</v>
      </c>
      <c r="X572" s="3">
        <v>0.32400000000000001</v>
      </c>
      <c r="Y572" s="4">
        <f t="shared" si="449"/>
        <v>6.226</v>
      </c>
      <c r="Z572" s="3">
        <v>15.3</v>
      </c>
      <c r="AA572" s="3">
        <v>1.1299999999999999</v>
      </c>
      <c r="AB572" s="4">
        <v>368.82</v>
      </c>
      <c r="AC572" s="3">
        <v>55.2</v>
      </c>
      <c r="AD572" s="3">
        <v>23.4</v>
      </c>
      <c r="AE572" s="3">
        <v>1.31</v>
      </c>
      <c r="AF572" s="3">
        <v>1.18</v>
      </c>
      <c r="AG572" s="3">
        <v>4</v>
      </c>
      <c r="AH572" s="2">
        <v>9.7000000000000003E-2</v>
      </c>
      <c r="AI572" s="2">
        <v>0.17</v>
      </c>
      <c r="AJ572" s="3" t="s">
        <v>159</v>
      </c>
      <c r="AN572" s="1">
        <f>S572*J572*0.012</f>
        <v>113.08800000000001</v>
      </c>
      <c r="AO572" s="1">
        <f>W572*J572*0.012</f>
        <v>4.8731999999999998</v>
      </c>
      <c r="AP572" s="1">
        <f>Z572*J572*0.012</f>
        <v>11.3832</v>
      </c>
      <c r="AQ572" s="1">
        <f>AA572*J572*0.012</f>
        <v>0.84071999999999991</v>
      </c>
      <c r="AR572" s="1">
        <f>AB572*J572*0.012</f>
        <v>274.40208000000001</v>
      </c>
      <c r="AS572" s="1">
        <f t="shared" ref="AS572:AS574" si="451">R572*J572*0.012</f>
        <v>0</v>
      </c>
    </row>
    <row r="573" spans="1:48" x14ac:dyDescent="0.3">
      <c r="A573" s="5">
        <v>45098</v>
      </c>
      <c r="B573" s="12" t="s">
        <v>277</v>
      </c>
      <c r="C573" t="s">
        <v>246</v>
      </c>
      <c r="E573" t="s">
        <v>370</v>
      </c>
      <c r="H573" t="s">
        <v>276</v>
      </c>
      <c r="J573" s="1">
        <v>20.02</v>
      </c>
      <c r="K573" t="s">
        <v>96</v>
      </c>
      <c r="L573" s="2">
        <v>3.21</v>
      </c>
      <c r="M573" s="2">
        <v>3</v>
      </c>
      <c r="N573" s="1">
        <v>1244</v>
      </c>
      <c r="O573" s="1">
        <v>1099</v>
      </c>
      <c r="Q573" s="4">
        <v>0</v>
      </c>
      <c r="R573" s="6">
        <v>0</v>
      </c>
      <c r="S573" s="40">
        <v>251.2</v>
      </c>
      <c r="T573" s="4">
        <f t="shared" si="450"/>
        <v>197.21547009307409</v>
      </c>
      <c r="U573" s="6"/>
      <c r="V573" s="6"/>
      <c r="W573" s="8">
        <v>8.1270000000000007</v>
      </c>
      <c r="X573" s="8">
        <v>0.746</v>
      </c>
      <c r="Y573" s="4">
        <f t="shared" si="449"/>
        <v>7.3810000000000002</v>
      </c>
      <c r="Z573" s="8">
        <v>25.54</v>
      </c>
      <c r="AA573" s="8">
        <v>1.7949999999999999</v>
      </c>
      <c r="AB573" s="40">
        <v>601.11</v>
      </c>
      <c r="AC573" s="8">
        <v>72.78</v>
      </c>
      <c r="AD573" s="6">
        <v>34.090000000000003</v>
      </c>
      <c r="AE573" s="8">
        <v>1.31</v>
      </c>
      <c r="AF573" s="8">
        <v>1.19</v>
      </c>
      <c r="AG573" s="8">
        <v>4</v>
      </c>
      <c r="AH573" s="6">
        <v>0.157</v>
      </c>
      <c r="AI573" s="41">
        <v>0.26500000000000001</v>
      </c>
      <c r="AJ573" s="6">
        <v>0.2</v>
      </c>
      <c r="AK573" s="6"/>
      <c r="AL573" s="6"/>
      <c r="AN573" s="1">
        <f>S573*J573*0.012</f>
        <v>60.348287999999997</v>
      </c>
      <c r="AO573" s="1">
        <f>W573*J573*0.012</f>
        <v>1.9524304800000001</v>
      </c>
      <c r="AP573" s="1">
        <f>Z573*J573*0.012</f>
        <v>6.1357295999999995</v>
      </c>
      <c r="AQ573" s="1">
        <f>AA573*J573*0.012</f>
        <v>0.43123079999999997</v>
      </c>
      <c r="AR573" s="1">
        <f>AB573*J573*0.012</f>
        <v>144.4106664</v>
      </c>
      <c r="AS573" s="1">
        <f t="shared" si="451"/>
        <v>0</v>
      </c>
    </row>
    <row r="574" spans="1:48" x14ac:dyDescent="0.3">
      <c r="A574" s="5">
        <v>45169</v>
      </c>
      <c r="B574" s="12" t="s">
        <v>77</v>
      </c>
      <c r="C574" t="s">
        <v>246</v>
      </c>
      <c r="E574" t="s">
        <v>370</v>
      </c>
      <c r="H574" t="s">
        <v>93</v>
      </c>
      <c r="J574" s="1">
        <f>AVERAGE(36.1,30.2,34.4,34)</f>
        <v>33.674999999999997</v>
      </c>
      <c r="K574" t="s">
        <v>96</v>
      </c>
      <c r="L574" s="2">
        <v>2.67</v>
      </c>
      <c r="M574" s="2">
        <v>3.1</v>
      </c>
      <c r="N574" s="1">
        <v>1142</v>
      </c>
      <c r="O574" s="1">
        <v>1091</v>
      </c>
      <c r="P574" s="3">
        <v>11.7</v>
      </c>
      <c r="Q574" s="4">
        <v>0</v>
      </c>
      <c r="R574" s="4">
        <v>0</v>
      </c>
      <c r="S574" s="4">
        <v>259</v>
      </c>
      <c r="T574" s="4">
        <f t="shared" si="450"/>
        <v>295.23382447511159</v>
      </c>
      <c r="W574" s="3">
        <v>9.6199999999999992</v>
      </c>
      <c r="X574" s="3">
        <v>0.41199999999999998</v>
      </c>
      <c r="Y574" s="4">
        <f t="shared" si="449"/>
        <v>9.2079999999999984</v>
      </c>
      <c r="Z574" s="3">
        <v>28.7</v>
      </c>
      <c r="AA574" s="3">
        <v>1.84</v>
      </c>
      <c r="AB574" s="40">
        <v>589.70000000000005</v>
      </c>
      <c r="AC574" s="6">
        <v>81.400000000000006</v>
      </c>
      <c r="AD574" s="6">
        <v>36.299999999999997</v>
      </c>
      <c r="AE574" s="8">
        <v>1.49</v>
      </c>
      <c r="AF574" s="8">
        <v>1.37</v>
      </c>
      <c r="AG574" s="8">
        <v>4</v>
      </c>
      <c r="AH574" s="2">
        <v>0.152</v>
      </c>
      <c r="AI574" s="2">
        <v>0.27200000000000002</v>
      </c>
      <c r="AJ574" s="3">
        <v>0.2</v>
      </c>
      <c r="AN574" s="1">
        <f t="shared" ref="AN574:AN590" si="452">S574*J574*0.012</f>
        <v>104.66189999999999</v>
      </c>
      <c r="AO574" s="1">
        <f t="shared" ref="AO574:AO590" si="453">W574*J574*0.012</f>
        <v>3.8874419999999996</v>
      </c>
      <c r="AP574" s="1">
        <f t="shared" ref="AP574:AP590" si="454">Z574*J574*0.012</f>
        <v>11.597669999999999</v>
      </c>
      <c r="AQ574" s="1">
        <f t="shared" ref="AQ574:AQ590" si="455">AA574*J574*0.012</f>
        <v>0.74354399999999998</v>
      </c>
      <c r="AR574" s="1">
        <f t="shared" ref="AR574:AR590" si="456">AB574*J574*0.012</f>
        <v>238.29776999999999</v>
      </c>
      <c r="AS574" s="1">
        <f t="shared" si="451"/>
        <v>0</v>
      </c>
    </row>
    <row r="575" spans="1:48" x14ac:dyDescent="0.3">
      <c r="A575" s="5">
        <v>45366</v>
      </c>
      <c r="B575" s="12" t="s">
        <v>32</v>
      </c>
      <c r="C575" t="s">
        <v>246</v>
      </c>
      <c r="E575" t="s">
        <v>370</v>
      </c>
      <c r="H575" t="s">
        <v>218</v>
      </c>
      <c r="J575" s="1">
        <v>86</v>
      </c>
      <c r="K575" t="s">
        <v>96</v>
      </c>
      <c r="L575" s="2">
        <v>2.4700000000000002</v>
      </c>
      <c r="M575" s="2">
        <v>3.3</v>
      </c>
      <c r="N575" s="1">
        <v>753</v>
      </c>
      <c r="P575" s="3">
        <v>10.1</v>
      </c>
      <c r="R575" s="4">
        <v>0</v>
      </c>
      <c r="S575" s="4">
        <v>149</v>
      </c>
      <c r="T575" s="4">
        <f t="shared" si="450"/>
        <v>270.10426806960106</v>
      </c>
      <c r="W575" s="3">
        <v>6.6959999999999997</v>
      </c>
      <c r="X575" s="3">
        <v>0.48899999999999999</v>
      </c>
      <c r="Y575" s="4">
        <f t="shared" si="449"/>
        <v>6.2069999999999999</v>
      </c>
      <c r="Z575" s="3">
        <v>14.614000000000001</v>
      </c>
      <c r="AA575" s="3">
        <v>1.054</v>
      </c>
      <c r="AB575" s="40">
        <v>297.7</v>
      </c>
      <c r="AC575" s="6"/>
      <c r="AD575" s="6"/>
      <c r="AE575" s="8"/>
      <c r="AF575" s="8"/>
      <c r="AG575" s="8"/>
      <c r="AK575" s="3" t="s">
        <v>363</v>
      </c>
      <c r="AL575" s="4">
        <v>458</v>
      </c>
      <c r="AN575" s="1">
        <f t="shared" ref="AN575" si="457">S575*J575*0.012</f>
        <v>153.768</v>
      </c>
      <c r="AO575" s="1">
        <f t="shared" ref="AO575" si="458">W575*J575*0.012</f>
        <v>6.910272</v>
      </c>
      <c r="AP575" s="1">
        <f t="shared" ref="AP575" si="459">Z575*J575*0.012</f>
        <v>15.081648000000001</v>
      </c>
      <c r="AQ575" s="1">
        <f t="shared" ref="AQ575" si="460">AA575*J575*0.012</f>
        <v>1.087728</v>
      </c>
      <c r="AR575" s="1">
        <f t="shared" ref="AR575" si="461">AB575*J575*0.012</f>
        <v>307.22640000000001</v>
      </c>
      <c r="AS575" s="1">
        <f t="shared" ref="AS575" si="462">R575*J575*0.012</f>
        <v>0</v>
      </c>
    </row>
    <row r="576" spans="1:48" s="16" customFormat="1" x14ac:dyDescent="0.3">
      <c r="A576" s="24">
        <v>45392</v>
      </c>
      <c r="B576" s="25" t="s">
        <v>32</v>
      </c>
      <c r="C576" s="26" t="s">
        <v>246</v>
      </c>
      <c r="D576" s="26"/>
      <c r="E576" t="s">
        <v>370</v>
      </c>
      <c r="F576" s="26"/>
      <c r="G576" s="26"/>
      <c r="H576" s="26" t="s">
        <v>218</v>
      </c>
      <c r="I576" s="21"/>
      <c r="J576" s="9">
        <v>158.6</v>
      </c>
      <c r="K576" s="26" t="s">
        <v>96</v>
      </c>
      <c r="L576" s="21">
        <v>2.5</v>
      </c>
      <c r="M576" s="21">
        <v>2.9</v>
      </c>
      <c r="N576" s="9">
        <v>1377</v>
      </c>
      <c r="O576" s="14"/>
      <c r="P576" s="22">
        <v>11.6</v>
      </c>
      <c r="Q576" s="18">
        <v>0</v>
      </c>
      <c r="R576" s="18">
        <v>0</v>
      </c>
      <c r="S576" s="18">
        <v>364.4</v>
      </c>
      <c r="T576" s="4">
        <f t="shared" si="450"/>
        <v>445.06431300841882</v>
      </c>
      <c r="U576" s="17"/>
      <c r="V576" s="17"/>
      <c r="W576" s="23">
        <v>35.82</v>
      </c>
      <c r="X576" s="22">
        <v>0.78100000000000003</v>
      </c>
      <c r="Y576" s="4">
        <f t="shared" si="449"/>
        <v>35.039000000000001</v>
      </c>
      <c r="Z576" s="22">
        <v>33.670999999999999</v>
      </c>
      <c r="AA576" s="22">
        <v>2.4380000000000002</v>
      </c>
      <c r="AB576" s="99">
        <v>661.3</v>
      </c>
      <c r="AC576" s="94"/>
      <c r="AD576" s="94"/>
      <c r="AE576" s="95"/>
      <c r="AF576" s="95"/>
      <c r="AG576" s="95"/>
      <c r="AH576" s="17"/>
      <c r="AI576" s="17"/>
      <c r="AJ576" s="23"/>
      <c r="AK576" s="22" t="s">
        <v>363</v>
      </c>
      <c r="AL576" s="18">
        <v>1044</v>
      </c>
      <c r="AM576" s="23"/>
      <c r="AN576" s="9">
        <f t="shared" ref="AN576:AN577" si="463">S576*J576*0.012</f>
        <v>693.52607999999998</v>
      </c>
      <c r="AO576" s="9">
        <f t="shared" ref="AO576:AO577" si="464">W576*J576*0.012</f>
        <v>68.172623999999999</v>
      </c>
      <c r="AP576" s="9">
        <f t="shared" ref="AP576:AP577" si="465">Z576*J576*0.012</f>
        <v>64.082647199999997</v>
      </c>
      <c r="AQ576" s="9">
        <f>AA576*J576*0.012</f>
        <v>4.6400016000000006</v>
      </c>
      <c r="AR576" s="9">
        <f t="shared" ref="AR576:AR577" si="466">AB576*J576*0.012</f>
        <v>1258.5861599999998</v>
      </c>
      <c r="AS576" s="9">
        <f t="shared" ref="AS576:AS577" si="467">R576*J576*0.012</f>
        <v>0</v>
      </c>
    </row>
    <row r="577" spans="1:48" s="16" customFormat="1" x14ac:dyDescent="0.3">
      <c r="A577" s="24">
        <v>45442</v>
      </c>
      <c r="B577" s="25" t="s">
        <v>32</v>
      </c>
      <c r="C577" t="s">
        <v>246</v>
      </c>
      <c r="D577"/>
      <c r="E577" t="s">
        <v>370</v>
      </c>
      <c r="F577"/>
      <c r="G577"/>
      <c r="H577" t="s">
        <v>218</v>
      </c>
      <c r="I577" s="21"/>
      <c r="J577" s="9">
        <v>50.33</v>
      </c>
      <c r="K577" s="26" t="s">
        <v>96</v>
      </c>
      <c r="L577" s="21">
        <v>2.9</v>
      </c>
      <c r="M577" s="21">
        <v>3.1</v>
      </c>
      <c r="N577" s="9">
        <v>1074</v>
      </c>
      <c r="O577" s="14"/>
      <c r="P577" s="22">
        <v>11.2</v>
      </c>
      <c r="Q577" s="18">
        <v>0</v>
      </c>
      <c r="R577" s="18">
        <v>0</v>
      </c>
      <c r="S577" s="18">
        <v>223.4</v>
      </c>
      <c r="T577" s="4">
        <f t="shared" si="450"/>
        <v>211.85789058970832</v>
      </c>
      <c r="U577" s="17"/>
      <c r="V577" s="17"/>
      <c r="W577" s="22">
        <v>8.9320000000000004</v>
      </c>
      <c r="X577" s="22">
        <v>0.59199999999999997</v>
      </c>
      <c r="Y577" s="4">
        <f t="shared" si="449"/>
        <v>8.34</v>
      </c>
      <c r="Z577" s="22">
        <v>22.012</v>
      </c>
      <c r="AA577" s="22">
        <v>1.7110000000000001</v>
      </c>
      <c r="AB577" s="99">
        <v>475.2</v>
      </c>
      <c r="AC577" s="94"/>
      <c r="AD577" s="94"/>
      <c r="AE577" s="95"/>
      <c r="AF577" s="95"/>
      <c r="AG577" s="95"/>
      <c r="AH577" s="17"/>
      <c r="AI577" s="17"/>
      <c r="AJ577" s="23"/>
      <c r="AK577" s="22" t="s">
        <v>363</v>
      </c>
      <c r="AL577" s="18">
        <v>878</v>
      </c>
      <c r="AM577" s="23"/>
      <c r="AN577" s="9">
        <f t="shared" si="463"/>
        <v>134.92466400000001</v>
      </c>
      <c r="AO577" s="9">
        <f t="shared" si="464"/>
        <v>5.3945707199999999</v>
      </c>
      <c r="AP577" s="9">
        <f t="shared" si="465"/>
        <v>13.29436752</v>
      </c>
      <c r="AQ577" s="9">
        <f t="shared" ref="AQ577" si="468">AA577*J577*0.012</f>
        <v>1.0333755600000001</v>
      </c>
      <c r="AR577" s="9">
        <f t="shared" si="466"/>
        <v>287.00179199999997</v>
      </c>
      <c r="AS577" s="9">
        <f t="shared" si="467"/>
        <v>0</v>
      </c>
    </row>
    <row r="578" spans="1:48" s="16" customFormat="1" x14ac:dyDescent="0.3">
      <c r="A578" s="24">
        <v>45461</v>
      </c>
      <c r="B578" s="25" t="s">
        <v>29</v>
      </c>
      <c r="C578" t="s">
        <v>246</v>
      </c>
      <c r="D578"/>
      <c r="E578" t="s">
        <v>370</v>
      </c>
      <c r="F578"/>
      <c r="G578"/>
      <c r="H578" t="s">
        <v>218</v>
      </c>
      <c r="I578" s="21"/>
      <c r="J578" s="9">
        <v>30.75</v>
      </c>
      <c r="K578" s="26" t="s">
        <v>96</v>
      </c>
      <c r="L578" s="21">
        <v>2.59</v>
      </c>
      <c r="M578" s="21">
        <v>3.1</v>
      </c>
      <c r="N578" s="9">
        <v>1269</v>
      </c>
      <c r="O578" s="14"/>
      <c r="P578" s="22">
        <v>12.1</v>
      </c>
      <c r="Q578" s="18">
        <v>0</v>
      </c>
      <c r="R578" s="18">
        <v>0</v>
      </c>
      <c r="S578" s="18">
        <v>252.8</v>
      </c>
      <c r="T578" s="4">
        <f t="shared" si="450"/>
        <v>300.40434913844319</v>
      </c>
      <c r="U578" s="17"/>
      <c r="V578" s="17"/>
      <c r="W578" s="22">
        <v>8.4440000000000008</v>
      </c>
      <c r="X578" s="22">
        <v>0.6</v>
      </c>
      <c r="Y578" s="4">
        <f t="shared" si="449"/>
        <v>7.8440000000000012</v>
      </c>
      <c r="Z578" s="22">
        <v>26.289000000000001</v>
      </c>
      <c r="AA578" s="22">
        <v>1.99</v>
      </c>
      <c r="AB578" s="99">
        <v>544.1</v>
      </c>
      <c r="AC578" s="94"/>
      <c r="AD578" s="94"/>
      <c r="AE578" s="95"/>
      <c r="AF578" s="95"/>
      <c r="AG578" s="95"/>
      <c r="AH578" s="17"/>
      <c r="AI578" s="17"/>
      <c r="AJ578" s="23"/>
      <c r="AK578" s="22" t="s">
        <v>363</v>
      </c>
      <c r="AL578" s="18">
        <v>944</v>
      </c>
      <c r="AM578" s="23"/>
      <c r="AN578" s="9">
        <f t="shared" ref="AN578" si="469">S578*J578*0.012</f>
        <v>93.283200000000008</v>
      </c>
      <c r="AO578" s="9">
        <f t="shared" ref="AO578" si="470">W578*J578*0.012</f>
        <v>3.1158360000000003</v>
      </c>
      <c r="AP578" s="9">
        <f t="shared" ref="AP578" si="471">Z578*J578*0.012</f>
        <v>9.700641000000001</v>
      </c>
      <c r="AQ578" s="9">
        <f t="shared" ref="AQ578" si="472">AA578*J578*0.012</f>
        <v>0.73431000000000002</v>
      </c>
      <c r="AR578" s="9">
        <f t="shared" ref="AR578" si="473">AB578*J578*0.012</f>
        <v>200.77290000000002</v>
      </c>
      <c r="AS578" s="9">
        <f t="shared" ref="AS578" si="474">R578*J578*0.012</f>
        <v>0</v>
      </c>
    </row>
    <row r="579" spans="1:48" s="16" customFormat="1" x14ac:dyDescent="0.3">
      <c r="A579" s="24">
        <v>45483</v>
      </c>
      <c r="B579" s="25" t="s">
        <v>29</v>
      </c>
      <c r="C579" t="s">
        <v>246</v>
      </c>
      <c r="D579"/>
      <c r="E579" t="s">
        <v>370</v>
      </c>
      <c r="F579"/>
      <c r="G579"/>
      <c r="H579" t="s">
        <v>218</v>
      </c>
      <c r="I579" s="21"/>
      <c r="J579" s="9">
        <v>22.7</v>
      </c>
      <c r="K579" s="26" t="s">
        <v>96</v>
      </c>
      <c r="L579" s="21">
        <v>2.92</v>
      </c>
      <c r="M579" s="21">
        <v>3.1</v>
      </c>
      <c r="N579" s="9">
        <v>1514</v>
      </c>
      <c r="O579" s="14"/>
      <c r="P579" s="22">
        <v>12.4</v>
      </c>
      <c r="Q579" s="18">
        <v>0</v>
      </c>
      <c r="R579" s="4">
        <v>0</v>
      </c>
      <c r="S579" s="4">
        <v>328.8</v>
      </c>
      <c r="T579" s="4">
        <f t="shared" si="450"/>
        <v>295.65320173087065</v>
      </c>
      <c r="U579" s="17"/>
      <c r="V579" s="17"/>
      <c r="W579" s="3">
        <v>9.1460000000000008</v>
      </c>
      <c r="X579" s="3">
        <v>0.36599999999999999</v>
      </c>
      <c r="Y579" s="4">
        <f t="shared" si="449"/>
        <v>8.7800000000000011</v>
      </c>
      <c r="Z579" s="3">
        <v>37.161000000000001</v>
      </c>
      <c r="AA579" s="3">
        <v>2.6040000000000001</v>
      </c>
      <c r="AB579" s="4">
        <v>729.5</v>
      </c>
      <c r="AC579" s="94"/>
      <c r="AD579" s="94"/>
      <c r="AE579" s="95"/>
      <c r="AF579" s="95"/>
      <c r="AG579" s="95"/>
      <c r="AH579" s="17"/>
      <c r="AI579" s="17"/>
      <c r="AJ579" s="23"/>
      <c r="AK579" s="22" t="s">
        <v>363</v>
      </c>
      <c r="AL579" s="4">
        <v>1162</v>
      </c>
      <c r="AM579" s="23"/>
      <c r="AN579" s="9">
        <f t="shared" ref="AN579" si="475">S579*J579*0.012</f>
        <v>89.565120000000007</v>
      </c>
      <c r="AO579" s="9">
        <f t="shared" ref="AO579" si="476">W579*J579*0.012</f>
        <v>2.4913704000000001</v>
      </c>
      <c r="AP579" s="9">
        <f t="shared" ref="AP579" si="477">Z579*J579*0.012</f>
        <v>10.1226564</v>
      </c>
      <c r="AQ579" s="9">
        <f t="shared" ref="AQ579" si="478">AA579*J579*0.012</f>
        <v>0.7093296</v>
      </c>
      <c r="AR579" s="9">
        <f t="shared" ref="AR579" si="479">AB579*J579*0.012</f>
        <v>198.71579999999997</v>
      </c>
      <c r="AS579" s="9">
        <f t="shared" ref="AS579" si="480">R579*J579*0.012</f>
        <v>0</v>
      </c>
    </row>
    <row r="580" spans="1:48" s="16" customFormat="1" x14ac:dyDescent="0.3">
      <c r="A580" s="24">
        <v>45527</v>
      </c>
      <c r="B580" s="25" t="s">
        <v>43</v>
      </c>
      <c r="C580" t="s">
        <v>246</v>
      </c>
      <c r="D580"/>
      <c r="E580" t="s">
        <v>370</v>
      </c>
      <c r="F580"/>
      <c r="G580"/>
      <c r="H580" t="s">
        <v>218</v>
      </c>
      <c r="I580" s="21"/>
      <c r="J580" s="9">
        <v>23</v>
      </c>
      <c r="K580" s="26" t="s">
        <v>96</v>
      </c>
      <c r="L580" s="21">
        <v>3.3</v>
      </c>
      <c r="M580" s="2">
        <v>3.1</v>
      </c>
      <c r="N580" s="9">
        <v>1357</v>
      </c>
      <c r="O580" s="14"/>
      <c r="P580" s="22"/>
      <c r="Q580" s="18">
        <v>0</v>
      </c>
      <c r="R580" s="4">
        <v>0</v>
      </c>
      <c r="S580" s="4">
        <v>368.6</v>
      </c>
      <c r="T580" s="4">
        <f t="shared" si="450"/>
        <v>301.89457168136363</v>
      </c>
      <c r="U580" s="17"/>
      <c r="V580" s="17"/>
      <c r="W580" s="3">
        <v>8.0069999999999997</v>
      </c>
      <c r="X580" s="3">
        <v>0.48699999999999999</v>
      </c>
      <c r="Y580" s="4">
        <f t="shared" si="449"/>
        <v>7.52</v>
      </c>
      <c r="Z580" s="3">
        <v>45.152000000000001</v>
      </c>
      <c r="AA580" s="3">
        <v>2.6179999999999999</v>
      </c>
      <c r="AB580" s="4">
        <v>788.8</v>
      </c>
      <c r="AC580" s="94"/>
      <c r="AD580" s="94"/>
      <c r="AE580" s="95"/>
      <c r="AF580" s="95"/>
      <c r="AG580" s="95"/>
      <c r="AH580" s="17"/>
      <c r="AI580" s="17"/>
      <c r="AJ580" s="23"/>
      <c r="AK580" s="22" t="s">
        <v>363</v>
      </c>
      <c r="AL580" s="4">
        <v>1138</v>
      </c>
      <c r="AM580" s="23"/>
      <c r="AN580" s="9">
        <f t="shared" ref="AN580:AN581" si="481">S580*J580*0.012</f>
        <v>101.73360000000001</v>
      </c>
      <c r="AO580" s="9">
        <f t="shared" ref="AO580:AO581" si="482">W580*J580*0.012</f>
        <v>2.2099320000000002</v>
      </c>
      <c r="AP580" s="9">
        <f t="shared" ref="AP580:AP581" si="483">Z580*J580*0.012</f>
        <v>12.461952000000002</v>
      </c>
      <c r="AQ580" s="9">
        <f t="shared" ref="AQ580:AQ581" si="484">AA580*J580*0.012</f>
        <v>0.72256799999999999</v>
      </c>
      <c r="AR580" s="9">
        <f t="shared" ref="AR580:AR581" si="485">AB580*J580*0.012</f>
        <v>217.70879999999997</v>
      </c>
      <c r="AS580" s="9">
        <f t="shared" ref="AS580:AS581" si="486">R580*J580*0.012</f>
        <v>0</v>
      </c>
    </row>
    <row r="581" spans="1:48" s="16" customFormat="1" x14ac:dyDescent="0.3">
      <c r="A581" s="24">
        <v>45547</v>
      </c>
      <c r="B581" s="25"/>
      <c r="C581" t="s">
        <v>246</v>
      </c>
      <c r="D581"/>
      <c r="E581" t="s">
        <v>370</v>
      </c>
      <c r="F581"/>
      <c r="G581"/>
      <c r="H581" t="s">
        <v>218</v>
      </c>
      <c r="I581" s="21"/>
      <c r="J581" s="9">
        <v>17.82</v>
      </c>
      <c r="K581" s="26" t="s">
        <v>96</v>
      </c>
      <c r="L581" s="21">
        <v>2.99</v>
      </c>
      <c r="M581" s="21">
        <v>3</v>
      </c>
      <c r="N581" s="9">
        <v>1657</v>
      </c>
      <c r="O581" s="14"/>
      <c r="P581" s="22">
        <v>11.6</v>
      </c>
      <c r="Q581" s="18">
        <v>0</v>
      </c>
      <c r="R581" s="4">
        <v>0</v>
      </c>
      <c r="S581" s="4">
        <v>418.4</v>
      </c>
      <c r="T581" s="4">
        <f t="shared" si="450"/>
        <v>353.24321961403768</v>
      </c>
      <c r="U581" s="17"/>
      <c r="V581" s="17"/>
      <c r="W581" s="3">
        <v>9.8040000000000003</v>
      </c>
      <c r="X581" s="3">
        <v>0.34899999999999998</v>
      </c>
      <c r="Y581" s="4">
        <f t="shared" si="449"/>
        <v>9.4550000000000001</v>
      </c>
      <c r="Z581" s="3">
        <v>48.744</v>
      </c>
      <c r="AA581" s="3">
        <v>2.8010000000000002</v>
      </c>
      <c r="AB581" s="4">
        <v>805.2</v>
      </c>
      <c r="AC581" s="94"/>
      <c r="AD581" s="94"/>
      <c r="AE581" s="95"/>
      <c r="AF581" s="95"/>
      <c r="AG581" s="95"/>
      <c r="AH581" s="17"/>
      <c r="AI581" s="17"/>
      <c r="AJ581" s="23"/>
      <c r="AK581" s="22" t="s">
        <v>363</v>
      </c>
      <c r="AL581" s="4">
        <v>1302</v>
      </c>
      <c r="AM581" s="23"/>
      <c r="AN581" s="9">
        <f t="shared" si="481"/>
        <v>89.470656000000005</v>
      </c>
      <c r="AO581" s="9">
        <f t="shared" si="482"/>
        <v>2.0964873599999998</v>
      </c>
      <c r="AP581" s="9">
        <f t="shared" si="483"/>
        <v>10.423416959999999</v>
      </c>
      <c r="AQ581" s="9">
        <f t="shared" si="484"/>
        <v>0.59896583999999997</v>
      </c>
      <c r="AR581" s="9">
        <f t="shared" si="485"/>
        <v>172.18396800000002</v>
      </c>
      <c r="AS581" s="9">
        <f t="shared" si="486"/>
        <v>0</v>
      </c>
    </row>
    <row r="582" spans="1:48" s="16" customFormat="1" x14ac:dyDescent="0.3">
      <c r="A582" s="24">
        <v>45595</v>
      </c>
      <c r="B582" s="25" t="s">
        <v>37</v>
      </c>
      <c r="C582" t="s">
        <v>246</v>
      </c>
      <c r="D582"/>
      <c r="E582" t="s">
        <v>370</v>
      </c>
      <c r="F582"/>
      <c r="G582"/>
      <c r="H582" t="s">
        <v>218</v>
      </c>
      <c r="I582" s="21"/>
      <c r="J582" s="9">
        <v>12.99</v>
      </c>
      <c r="K582" s="26" t="s">
        <v>96</v>
      </c>
      <c r="L582" s="21">
        <v>2.69</v>
      </c>
      <c r="M582" s="21">
        <v>3</v>
      </c>
      <c r="N582" s="9">
        <v>1711</v>
      </c>
      <c r="O582" s="14"/>
      <c r="P582" s="22">
        <v>11.9</v>
      </c>
      <c r="Q582" s="18">
        <v>0</v>
      </c>
      <c r="R582" s="4">
        <v>0</v>
      </c>
      <c r="S582" s="4">
        <v>485.2</v>
      </c>
      <c r="T582" s="4">
        <f t="shared" si="450"/>
        <v>439.11933723347647</v>
      </c>
      <c r="U582" s="17"/>
      <c r="V582" s="17"/>
      <c r="W582" s="3">
        <v>10.422000000000001</v>
      </c>
      <c r="X582" s="3">
        <v>0.41799999999999998</v>
      </c>
      <c r="Y582" s="4">
        <f t="shared" si="449"/>
        <v>10.004000000000001</v>
      </c>
      <c r="Z582" s="3">
        <v>54.698</v>
      </c>
      <c r="AA582" s="3">
        <v>2.9409999999999998</v>
      </c>
      <c r="AB582" s="4">
        <v>1009.2</v>
      </c>
      <c r="AC582" s="94"/>
      <c r="AD582" s="94"/>
      <c r="AE582" s="95"/>
      <c r="AF582" s="95"/>
      <c r="AG582" s="95"/>
      <c r="AH582" s="17"/>
      <c r="AI582" s="17"/>
      <c r="AJ582" s="23"/>
      <c r="AK582" s="22" t="s">
        <v>363</v>
      </c>
      <c r="AL582" s="4">
        <v>1420</v>
      </c>
      <c r="AM582" s="23"/>
      <c r="AN582" s="9">
        <f t="shared" ref="AN582" si="487">S582*J582*0.012</f>
        <v>75.632975999999999</v>
      </c>
      <c r="AO582" s="9">
        <f t="shared" ref="AO582" si="488">W582*J582*0.012</f>
        <v>1.6245813600000003</v>
      </c>
      <c r="AP582" s="9">
        <f t="shared" ref="AP582" si="489">Z582*J582*0.012</f>
        <v>8.5263242399999992</v>
      </c>
      <c r="AQ582" s="9">
        <f t="shared" ref="AQ582" si="490">AA582*J582*0.012</f>
        <v>0.45844308</v>
      </c>
      <c r="AR582" s="9">
        <f t="shared" ref="AR582" si="491">AB582*J582*0.012</f>
        <v>157.31409600000003</v>
      </c>
      <c r="AS582" s="9">
        <f t="shared" ref="AS582" si="492">R582*J582*0.012</f>
        <v>0</v>
      </c>
    </row>
    <row r="583" spans="1:48" s="16" customFormat="1" x14ac:dyDescent="0.3">
      <c r="A583" s="24">
        <v>45617</v>
      </c>
      <c r="B583" s="25"/>
      <c r="C583" t="s">
        <v>246</v>
      </c>
      <c r="D583"/>
      <c r="E583" t="s">
        <v>370</v>
      </c>
      <c r="F583"/>
      <c r="G583"/>
      <c r="H583" t="s">
        <v>218</v>
      </c>
      <c r="I583" s="21"/>
      <c r="J583" s="9">
        <v>14.62</v>
      </c>
      <c r="K583" s="26" t="s">
        <v>96</v>
      </c>
      <c r="L583" s="21">
        <v>2.8</v>
      </c>
      <c r="M583" s="21">
        <v>3.1</v>
      </c>
      <c r="N583" s="9">
        <v>1511</v>
      </c>
      <c r="O583" s="14"/>
      <c r="P583" s="22">
        <v>7.8</v>
      </c>
      <c r="Q583" s="18">
        <v>0</v>
      </c>
      <c r="R583" s="4">
        <v>0</v>
      </c>
      <c r="S583" s="4">
        <v>427.6</v>
      </c>
      <c r="T583" s="4">
        <f t="shared" si="450"/>
        <v>414.03611962305564</v>
      </c>
      <c r="U583" s="17"/>
      <c r="V583" s="17"/>
      <c r="W583" s="3">
        <v>10.135999999999999</v>
      </c>
      <c r="X583" s="3">
        <v>0.47599999999999998</v>
      </c>
      <c r="Y583" s="4">
        <f t="shared" si="449"/>
        <v>9.66</v>
      </c>
      <c r="Z583" s="3">
        <v>54.465000000000003</v>
      </c>
      <c r="AA583" s="3">
        <v>2.871</v>
      </c>
      <c r="AB583" s="4">
        <v>993.1</v>
      </c>
      <c r="AC583" s="94"/>
      <c r="AD583" s="94"/>
      <c r="AE583" s="95"/>
      <c r="AF583" s="95"/>
      <c r="AG583" s="95"/>
      <c r="AH583" s="17"/>
      <c r="AI583" s="17"/>
      <c r="AJ583" s="23"/>
      <c r="AK583" s="22" t="s">
        <v>363</v>
      </c>
      <c r="AL583" s="4">
        <v>1266</v>
      </c>
      <c r="AM583" s="23"/>
      <c r="AN583" s="9">
        <f t="shared" ref="AN583" si="493">S583*J583*0.012</f>
        <v>75.018143999999992</v>
      </c>
      <c r="AO583" s="9">
        <f t="shared" ref="AO583" si="494">W583*J583*0.012</f>
        <v>1.7782598399999998</v>
      </c>
      <c r="AP583" s="9">
        <f t="shared" ref="AP583" si="495">Z583*J583*0.012</f>
        <v>9.5553396000000017</v>
      </c>
      <c r="AQ583" s="9">
        <f t="shared" ref="AQ583" si="496">AA583*J583*0.012</f>
        <v>0.50368824000000001</v>
      </c>
      <c r="AR583" s="9">
        <f t="shared" ref="AR583" si="497">AB583*J583*0.012</f>
        <v>174.22946400000001</v>
      </c>
      <c r="AS583" s="9">
        <f t="shared" ref="AS583" si="498">R583*J583*0.012</f>
        <v>0</v>
      </c>
    </row>
    <row r="584" spans="1:48" s="16" customFormat="1" x14ac:dyDescent="0.3">
      <c r="A584" s="24">
        <v>45644</v>
      </c>
      <c r="B584" s="25" t="s">
        <v>418</v>
      </c>
      <c r="C584" t="s">
        <v>246</v>
      </c>
      <c r="D584"/>
      <c r="E584" t="s">
        <v>370</v>
      </c>
      <c r="F584"/>
      <c r="G584"/>
      <c r="H584" t="s">
        <v>93</v>
      </c>
      <c r="I584" s="21"/>
      <c r="J584" s="9">
        <v>34.200000000000003</v>
      </c>
      <c r="K584" s="26" t="s">
        <v>96</v>
      </c>
      <c r="L584" s="21">
        <v>3.15</v>
      </c>
      <c r="M584" s="21">
        <v>3.3</v>
      </c>
      <c r="N584" s="9">
        <v>1052</v>
      </c>
      <c r="O584" s="14"/>
      <c r="P584" s="22">
        <v>9.9</v>
      </c>
      <c r="Q584" s="18">
        <v>0</v>
      </c>
      <c r="R584" s="4">
        <v>0</v>
      </c>
      <c r="S584" s="4">
        <v>237.6</v>
      </c>
      <c r="T584" s="4">
        <f t="shared" si="450"/>
        <v>213.59007921920687</v>
      </c>
      <c r="U584" s="17"/>
      <c r="V584" s="17"/>
      <c r="W584" s="3">
        <v>5.508</v>
      </c>
      <c r="X584" s="3">
        <v>0.32900000000000001</v>
      </c>
      <c r="Y584" s="4">
        <f t="shared" si="449"/>
        <v>5.1790000000000003</v>
      </c>
      <c r="Z584" s="3">
        <v>28.943999999999999</v>
      </c>
      <c r="AA584" s="3">
        <v>1.536</v>
      </c>
      <c r="AB584" s="4">
        <v>521.70000000000005</v>
      </c>
      <c r="AC584" s="94"/>
      <c r="AD584" s="94"/>
      <c r="AE584" s="95"/>
      <c r="AF584" s="95"/>
      <c r="AG584" s="95"/>
      <c r="AH584" s="17"/>
      <c r="AI584" s="17"/>
      <c r="AJ584" s="23"/>
      <c r="AK584" s="22" t="s">
        <v>363</v>
      </c>
      <c r="AL584" s="4">
        <v>774</v>
      </c>
      <c r="AM584" s="23"/>
      <c r="AN584" s="9">
        <f t="shared" ref="AN584:AN585" si="499">S584*J584*0.012</f>
        <v>97.511040000000008</v>
      </c>
      <c r="AO584" s="9">
        <f t="shared" ref="AO584:AO585" si="500">W584*J584*0.012</f>
        <v>2.2604832000000004</v>
      </c>
      <c r="AP584" s="9">
        <f t="shared" ref="AP584:AP585" si="501">Z584*J584*0.012</f>
        <v>11.8786176</v>
      </c>
      <c r="AQ584" s="9">
        <f t="shared" ref="AQ584:AQ585" si="502">AA584*J584*0.012</f>
        <v>0.63037440000000011</v>
      </c>
      <c r="AR584" s="9">
        <f t="shared" ref="AR584:AR585" si="503">AB584*J584*0.012</f>
        <v>214.10568000000004</v>
      </c>
      <c r="AS584" s="9">
        <f t="shared" ref="AS584:AS585" si="504">R584*J584*0.012</f>
        <v>0</v>
      </c>
    </row>
    <row r="585" spans="1:48" s="16" customFormat="1" x14ac:dyDescent="0.3">
      <c r="A585" s="24">
        <v>45687</v>
      </c>
      <c r="B585" s="25" t="s">
        <v>424</v>
      </c>
      <c r="C585" t="s">
        <v>246</v>
      </c>
      <c r="D585"/>
      <c r="E585" t="s">
        <v>370</v>
      </c>
      <c r="F585"/>
      <c r="G585"/>
      <c r="H585" t="s">
        <v>218</v>
      </c>
      <c r="I585" s="21"/>
      <c r="J585" s="9">
        <v>21.2</v>
      </c>
      <c r="K585" s="26" t="s">
        <v>96</v>
      </c>
      <c r="L585" s="21">
        <v>3.04</v>
      </c>
      <c r="M585" s="21">
        <v>3.2</v>
      </c>
      <c r="N585" s="9">
        <v>1197</v>
      </c>
      <c r="O585" s="14"/>
      <c r="P585" s="22">
        <v>8.4</v>
      </c>
      <c r="Q585" s="18">
        <v>0</v>
      </c>
      <c r="R585" s="4">
        <v>0</v>
      </c>
      <c r="S585" s="4">
        <v>270.60000000000002</v>
      </c>
      <c r="T585" s="4">
        <f t="shared" si="450"/>
        <v>234.29792196779542</v>
      </c>
      <c r="U585" s="17"/>
      <c r="V585" s="17"/>
      <c r="W585" s="3">
        <v>6.5060000000000002</v>
      </c>
      <c r="X585" s="3">
        <v>0.27600000000000002</v>
      </c>
      <c r="Y585" s="4">
        <f t="shared" si="449"/>
        <v>6.23</v>
      </c>
      <c r="Z585" s="3">
        <v>30.259</v>
      </c>
      <c r="AA585" s="3">
        <v>1.7949999999999999</v>
      </c>
      <c r="AB585" s="4">
        <v>592.79999999999995</v>
      </c>
      <c r="AC585" s="94"/>
      <c r="AD585" s="94"/>
      <c r="AE585" s="95"/>
      <c r="AF585" s="95"/>
      <c r="AG585" s="95"/>
      <c r="AH585" s="17"/>
      <c r="AI585" s="17"/>
      <c r="AJ585" s="23"/>
      <c r="AK585" s="22" t="s">
        <v>363</v>
      </c>
      <c r="AL585" s="4">
        <v>856</v>
      </c>
      <c r="AM585" s="23"/>
      <c r="AN585" s="9">
        <f t="shared" si="499"/>
        <v>68.840640000000008</v>
      </c>
      <c r="AO585" s="9">
        <f t="shared" si="500"/>
        <v>1.6551264000000001</v>
      </c>
      <c r="AP585" s="9">
        <f t="shared" si="501"/>
        <v>7.6978896000000008</v>
      </c>
      <c r="AQ585" s="9">
        <f t="shared" si="502"/>
        <v>0.45664799999999994</v>
      </c>
      <c r="AR585" s="9">
        <f t="shared" si="503"/>
        <v>150.80831999999998</v>
      </c>
      <c r="AS585" s="9">
        <f t="shared" si="504"/>
        <v>0</v>
      </c>
    </row>
    <row r="586" spans="1:48" x14ac:dyDescent="0.3">
      <c r="F586" s="11"/>
      <c r="G586" s="11"/>
      <c r="AD586" s="8"/>
      <c r="AE586" s="8"/>
      <c r="AU586" s="13"/>
      <c r="AV586" s="13"/>
    </row>
    <row r="587" spans="1:48" x14ac:dyDescent="0.3">
      <c r="A587" s="5">
        <v>44964</v>
      </c>
      <c r="B587" s="12" t="s">
        <v>230</v>
      </c>
      <c r="C587" t="s">
        <v>232</v>
      </c>
      <c r="E587" t="s">
        <v>231</v>
      </c>
      <c r="F587" s="11"/>
      <c r="G587" s="11"/>
      <c r="H587" t="s">
        <v>218</v>
      </c>
      <c r="J587" s="1">
        <v>210.5</v>
      </c>
      <c r="K587" t="s">
        <v>96</v>
      </c>
      <c r="L587" s="2">
        <v>3.4</v>
      </c>
      <c r="M587" s="2">
        <v>3.1</v>
      </c>
      <c r="N587" s="1">
        <v>1770</v>
      </c>
      <c r="O587" s="1">
        <v>1799</v>
      </c>
      <c r="Q587" s="4">
        <v>0</v>
      </c>
      <c r="R587" s="4">
        <v>0</v>
      </c>
      <c r="S587" s="4">
        <v>273.60000000000002</v>
      </c>
      <c r="T587" s="4">
        <f t="shared" ref="T587:T597" si="505">(X587*1.79+Y587*2.68+5.56*Z587+1.82*AA587+50000*(10^-L587)-R587)</f>
        <v>227.97180852767482</v>
      </c>
      <c r="W587" s="4">
        <v>25.9</v>
      </c>
      <c r="X587" s="4">
        <v>5.0149999999999997</v>
      </c>
      <c r="Y587" s="4">
        <f t="shared" ref="Y587:Y601" si="506">IF(W587-X587&lt;0,0,W587-X587)</f>
        <v>20.884999999999998</v>
      </c>
      <c r="Z587" s="3">
        <v>24.5</v>
      </c>
      <c r="AA587" s="3">
        <v>3.79</v>
      </c>
      <c r="AB587" s="4">
        <v>1094.99</v>
      </c>
      <c r="AC587" s="3">
        <v>171</v>
      </c>
      <c r="AD587" s="8">
        <v>65.7</v>
      </c>
      <c r="AE587" s="8">
        <v>46.7</v>
      </c>
      <c r="AF587" s="3">
        <v>3.2</v>
      </c>
      <c r="AG587" s="3">
        <v>9.3000000000000007</v>
      </c>
      <c r="AH587" s="2">
        <v>0.22600000000000001</v>
      </c>
      <c r="AI587" s="2">
        <v>0.44</v>
      </c>
      <c r="AJ587" s="3" t="s">
        <v>159</v>
      </c>
      <c r="AN587" s="1">
        <f t="shared" si="452"/>
        <v>691.11360000000002</v>
      </c>
      <c r="AO587" s="1">
        <f t="shared" si="453"/>
        <v>65.423400000000001</v>
      </c>
      <c r="AP587" s="1">
        <f t="shared" si="454"/>
        <v>61.887</v>
      </c>
      <c r="AQ587" s="1">
        <f t="shared" si="455"/>
        <v>9.5735399999999995</v>
      </c>
      <c r="AR587" s="1">
        <f t="shared" si="456"/>
        <v>2765.9447399999999</v>
      </c>
      <c r="AS587" s="1">
        <f>R587*J587*0.012</f>
        <v>0</v>
      </c>
    </row>
    <row r="588" spans="1:48" x14ac:dyDescent="0.3">
      <c r="A588" s="5">
        <v>45022</v>
      </c>
      <c r="B588" s="12" t="s">
        <v>52</v>
      </c>
      <c r="C588" t="s">
        <v>247</v>
      </c>
      <c r="E588" t="s">
        <v>231</v>
      </c>
      <c r="F588" s="11"/>
      <c r="G588" s="11"/>
      <c r="H588" t="s">
        <v>218</v>
      </c>
      <c r="J588" s="1">
        <f>(0.66-0.165)*449</f>
        <v>222.255</v>
      </c>
      <c r="K588" t="s">
        <v>96</v>
      </c>
      <c r="L588" s="2">
        <v>3.02</v>
      </c>
      <c r="M588" s="2">
        <v>3</v>
      </c>
      <c r="N588" s="1">
        <v>1920</v>
      </c>
      <c r="O588" s="1">
        <v>2000</v>
      </c>
      <c r="Q588" s="4">
        <v>0</v>
      </c>
      <c r="R588" s="4">
        <v>0</v>
      </c>
      <c r="S588" s="4">
        <v>344.2</v>
      </c>
      <c r="T588" s="4">
        <f t="shared" si="505"/>
        <v>315.12199930107175</v>
      </c>
      <c r="W588" s="4">
        <v>37.700000000000003</v>
      </c>
      <c r="X588" s="4">
        <v>11.035</v>
      </c>
      <c r="Y588" s="4">
        <f t="shared" si="506"/>
        <v>26.665000000000003</v>
      </c>
      <c r="Z588" s="3">
        <v>30.1</v>
      </c>
      <c r="AA588" s="3">
        <v>4.8360000000000003</v>
      </c>
      <c r="AB588" s="4">
        <v>1214.19</v>
      </c>
      <c r="AC588" s="3">
        <v>198</v>
      </c>
      <c r="AD588" s="3">
        <v>77.2</v>
      </c>
      <c r="AE588" s="3">
        <v>53.4</v>
      </c>
      <c r="AF588" s="3">
        <v>3.55</v>
      </c>
      <c r="AG588" s="3">
        <v>6.5</v>
      </c>
      <c r="AH588" s="2">
        <v>0.27400000000000002</v>
      </c>
      <c r="AI588" s="2">
        <v>0.58199999999999996</v>
      </c>
      <c r="AJ588" s="3" t="s">
        <v>159</v>
      </c>
      <c r="AN588" s="1">
        <f>S588*J588*0.012</f>
        <v>918.00205200000005</v>
      </c>
      <c r="AO588" s="1">
        <f>W588*J588*0.012</f>
        <v>100.54816200000002</v>
      </c>
      <c r="AP588" s="1">
        <f t="shared" si="454"/>
        <v>80.278506000000007</v>
      </c>
      <c r="AQ588" s="1">
        <f t="shared" si="455"/>
        <v>12.897902160000001</v>
      </c>
      <c r="AR588" s="1">
        <f t="shared" si="456"/>
        <v>3238.3175814000001</v>
      </c>
      <c r="AS588" s="1">
        <f t="shared" ref="AS588:AS590" si="507">R588*J588*0.012</f>
        <v>0</v>
      </c>
      <c r="AT588" t="s">
        <v>248</v>
      </c>
    </row>
    <row r="589" spans="1:48" x14ac:dyDescent="0.3">
      <c r="A589" s="5">
        <v>45098</v>
      </c>
      <c r="C589" t="s">
        <v>247</v>
      </c>
      <c r="E589" s="16" t="s">
        <v>231</v>
      </c>
      <c r="F589" s="44"/>
      <c r="G589" s="44"/>
      <c r="H589" s="16"/>
      <c r="I589" s="17"/>
      <c r="J589" s="14">
        <f>J312-J603-J573</f>
        <v>21.98</v>
      </c>
      <c r="K589" s="16"/>
      <c r="L589" s="17"/>
      <c r="M589" s="17"/>
      <c r="N589" s="14"/>
      <c r="O589" s="14"/>
      <c r="P589" s="23"/>
      <c r="Q589" s="10"/>
      <c r="R589" s="10"/>
      <c r="S589" s="10">
        <f>AN589*83.23/$J$589</f>
        <v>0</v>
      </c>
      <c r="U589" s="17"/>
      <c r="V589" s="17"/>
      <c r="W589" s="10">
        <f>AO589*83.23/$J$589</f>
        <v>0</v>
      </c>
      <c r="X589" s="23"/>
      <c r="Y589" s="4"/>
      <c r="Z589" s="10">
        <f>AP589*83.23/$J$589</f>
        <v>0</v>
      </c>
      <c r="AA589" s="10">
        <f>AQ589*83.23/$J$589</f>
        <v>0</v>
      </c>
      <c r="AB589" s="10">
        <f>AR589*83.23/$J$589</f>
        <v>0</v>
      </c>
    </row>
    <row r="590" spans="1:48" s="26" customFormat="1" x14ac:dyDescent="0.3">
      <c r="A590" s="24">
        <v>45169</v>
      </c>
      <c r="B590" s="25" t="s">
        <v>79</v>
      </c>
      <c r="C590" s="26" t="s">
        <v>247</v>
      </c>
      <c r="E590" s="26" t="s">
        <v>231</v>
      </c>
      <c r="F590" s="27"/>
      <c r="G590" s="27"/>
      <c r="H590" s="26" t="s">
        <v>93</v>
      </c>
      <c r="I590" s="21"/>
      <c r="J590" s="9">
        <f>(AVERAGE(147.2,153.8,132.9,195.2)+5)</f>
        <v>162.27499999999998</v>
      </c>
      <c r="K590" s="26" t="s">
        <v>96</v>
      </c>
      <c r="L590" s="21">
        <v>2.37</v>
      </c>
      <c r="M590" s="21">
        <v>3</v>
      </c>
      <c r="N590" s="9">
        <v>2219</v>
      </c>
      <c r="O590" s="9">
        <v>2180</v>
      </c>
      <c r="P590" s="22">
        <v>13.1</v>
      </c>
      <c r="Q590" s="18">
        <v>0</v>
      </c>
      <c r="R590" s="18">
        <v>0</v>
      </c>
      <c r="S590" s="18">
        <v>331.8</v>
      </c>
      <c r="T590" s="4">
        <f t="shared" si="505"/>
        <v>463.39349940079626</v>
      </c>
      <c r="U590" s="21"/>
      <c r="V590" s="21"/>
      <c r="W590" s="18">
        <v>23</v>
      </c>
      <c r="X590" s="18">
        <v>2.8940000000000001</v>
      </c>
      <c r="Y590" s="4">
        <f t="shared" si="506"/>
        <v>20.106000000000002</v>
      </c>
      <c r="Z590" s="18">
        <v>32.700000000000003</v>
      </c>
      <c r="AA590" s="18">
        <v>5.07</v>
      </c>
      <c r="AB590" s="40">
        <v>1363.49</v>
      </c>
      <c r="AC590" s="8">
        <v>207</v>
      </c>
      <c r="AD590" s="6">
        <v>77.3</v>
      </c>
      <c r="AE590" s="6">
        <v>66.2</v>
      </c>
      <c r="AF590" s="8">
        <v>3.67</v>
      </c>
      <c r="AG590" s="6">
        <v>6.7</v>
      </c>
      <c r="AH590" s="21">
        <v>0.29799999999999999</v>
      </c>
      <c r="AI590" s="21">
        <v>0.61099999999999999</v>
      </c>
      <c r="AJ590" s="22">
        <v>0.2</v>
      </c>
      <c r="AK590" s="22"/>
      <c r="AL590" s="22"/>
      <c r="AM590" s="22"/>
      <c r="AN590" s="1">
        <f t="shared" si="452"/>
        <v>646.11413999999991</v>
      </c>
      <c r="AO590" s="1">
        <f t="shared" si="453"/>
        <v>44.787899999999993</v>
      </c>
      <c r="AP590" s="1">
        <f t="shared" si="454"/>
        <v>63.67671</v>
      </c>
      <c r="AQ590" s="1">
        <f t="shared" si="455"/>
        <v>9.8728110000000004</v>
      </c>
      <c r="AR590" s="1">
        <f t="shared" si="456"/>
        <v>2655.1240769999999</v>
      </c>
      <c r="AS590" s="1">
        <f t="shared" si="507"/>
        <v>0</v>
      </c>
    </row>
    <row r="591" spans="1:48" s="26" customFormat="1" x14ac:dyDescent="0.3">
      <c r="A591" s="24">
        <v>45366</v>
      </c>
      <c r="B591" s="25" t="s">
        <v>34</v>
      </c>
      <c r="C591" t="s">
        <v>247</v>
      </c>
      <c r="D591"/>
      <c r="E591" s="26" t="s">
        <v>231</v>
      </c>
      <c r="F591" s="27"/>
      <c r="G591" s="27"/>
      <c r="H591" t="s">
        <v>218</v>
      </c>
      <c r="I591" s="21"/>
      <c r="J591" s="9">
        <v>438</v>
      </c>
      <c r="K591" s="26" t="s">
        <v>96</v>
      </c>
      <c r="L591" s="21">
        <v>2.36</v>
      </c>
      <c r="M591" s="21">
        <v>3</v>
      </c>
      <c r="N591" s="9">
        <v>1960</v>
      </c>
      <c r="O591" s="9"/>
      <c r="P591" s="22">
        <v>11.8</v>
      </c>
      <c r="Q591" s="18">
        <v>0</v>
      </c>
      <c r="R591" s="18">
        <v>0</v>
      </c>
      <c r="S591" s="18">
        <v>298</v>
      </c>
      <c r="T591" s="4">
        <f t="shared" si="505"/>
        <v>439.77569612008284</v>
      </c>
      <c r="U591" s="21"/>
      <c r="V591" s="21"/>
      <c r="W591" s="18">
        <v>23.856000000000002</v>
      </c>
      <c r="X591" s="18">
        <v>5.8</v>
      </c>
      <c r="Y591" s="4">
        <f t="shared" si="506"/>
        <v>18.056000000000001</v>
      </c>
      <c r="Z591" s="18">
        <v>27.95</v>
      </c>
      <c r="AA591" s="18">
        <v>4.0350000000000001</v>
      </c>
      <c r="AB591" s="40">
        <v>1090.0999999999999</v>
      </c>
      <c r="AC591" s="8"/>
      <c r="AD591" s="6"/>
      <c r="AE591" s="6"/>
      <c r="AF591" s="8"/>
      <c r="AG591" s="6"/>
      <c r="AH591" s="21"/>
      <c r="AI591" s="21"/>
      <c r="AJ591" s="22"/>
      <c r="AK591" s="22" t="s">
        <v>363</v>
      </c>
      <c r="AL591" s="18">
        <v>1486</v>
      </c>
      <c r="AM591" s="22"/>
      <c r="AN591" s="1">
        <f t="shared" ref="AN591" si="508">S591*J591*0.012</f>
        <v>1566.288</v>
      </c>
      <c r="AO591" s="1">
        <f t="shared" ref="AO591" si="509">W591*J591*0.012</f>
        <v>125.387136</v>
      </c>
      <c r="AP591" s="1">
        <f t="shared" ref="AP591" si="510">Z591*J591*0.012</f>
        <v>146.90520000000001</v>
      </c>
      <c r="AQ591" s="1">
        <f t="shared" ref="AQ591" si="511">AA591*J591*0.012</f>
        <v>21.207960000000003</v>
      </c>
      <c r="AR591" s="1">
        <f t="shared" ref="AR591" si="512">AB591*J591*0.012</f>
        <v>5729.5655999999999</v>
      </c>
      <c r="AS591" s="1">
        <f t="shared" ref="AS591" si="513">R591*J591*0.012</f>
        <v>0</v>
      </c>
    </row>
    <row r="592" spans="1:48" s="26" customFormat="1" x14ac:dyDescent="0.3">
      <c r="A592" s="24">
        <v>45392</v>
      </c>
      <c r="B592" s="25" t="s">
        <v>34</v>
      </c>
      <c r="C592" s="26" t="s">
        <v>247</v>
      </c>
      <c r="E592" s="26" t="s">
        <v>231</v>
      </c>
      <c r="F592" s="27"/>
      <c r="G592" s="27"/>
      <c r="H592" t="s">
        <v>218</v>
      </c>
      <c r="I592" s="21"/>
      <c r="J592" s="9">
        <v>456</v>
      </c>
      <c r="K592" s="26" t="s">
        <v>96</v>
      </c>
      <c r="L592" s="21">
        <v>2.52</v>
      </c>
      <c r="M592" s="21">
        <v>3</v>
      </c>
      <c r="N592" s="9">
        <v>2308</v>
      </c>
      <c r="O592" s="9"/>
      <c r="P592" s="22">
        <v>11.6</v>
      </c>
      <c r="Q592" s="18">
        <v>0</v>
      </c>
      <c r="R592" s="18">
        <v>0</v>
      </c>
      <c r="S592" s="18">
        <v>454.6</v>
      </c>
      <c r="T592" s="4">
        <f t="shared" si="505"/>
        <v>521.36143602010065</v>
      </c>
      <c r="U592" s="21"/>
      <c r="V592" s="21"/>
      <c r="W592" s="18">
        <v>41.996000000000002</v>
      </c>
      <c r="X592" s="18">
        <v>9.0809999999999995</v>
      </c>
      <c r="Y592" s="4">
        <f t="shared" si="506"/>
        <v>32.915000000000006</v>
      </c>
      <c r="Z592" s="18">
        <v>46.210999999999999</v>
      </c>
      <c r="AA592" s="18">
        <v>4.9249999999999998</v>
      </c>
      <c r="AB592" s="40">
        <v>1437.6</v>
      </c>
      <c r="AC592" s="8"/>
      <c r="AD592" s="6"/>
      <c r="AE592" s="6"/>
      <c r="AF592" s="8"/>
      <c r="AG592" s="6"/>
      <c r="AH592" s="21"/>
      <c r="AI592" s="21"/>
      <c r="AJ592" s="22"/>
      <c r="AK592" s="22" t="s">
        <v>363</v>
      </c>
      <c r="AL592" s="18">
        <v>1998</v>
      </c>
      <c r="AM592" s="22"/>
      <c r="AN592" s="1">
        <f t="shared" ref="AN592:AN594" si="514">S592*J592*0.012</f>
        <v>2487.5712000000003</v>
      </c>
      <c r="AO592" s="1">
        <f t="shared" ref="AO592:AO594" si="515">W592*J592*0.012</f>
        <v>229.80211199999999</v>
      </c>
      <c r="AP592" s="1">
        <f t="shared" ref="AP592:AP594" si="516">Z592*J592*0.012</f>
        <v>252.866592</v>
      </c>
      <c r="AQ592" s="1">
        <f t="shared" ref="AQ592:AQ594" si="517">AA592*J592*0.012</f>
        <v>26.949599999999997</v>
      </c>
      <c r="AR592" s="1">
        <f t="shared" ref="AR592:AR594" si="518">AB592*J592*0.012</f>
        <v>7866.5472</v>
      </c>
      <c r="AS592" s="1">
        <f t="shared" ref="AS592:AS594" si="519">R592*J592*0.012</f>
        <v>0</v>
      </c>
    </row>
    <row r="593" spans="1:48" s="26" customFormat="1" x14ac:dyDescent="0.3">
      <c r="A593" s="24">
        <v>45442</v>
      </c>
      <c r="B593" s="25" t="s">
        <v>34</v>
      </c>
      <c r="C593" t="s">
        <v>247</v>
      </c>
      <c r="D593"/>
      <c r="E593" s="26" t="s">
        <v>231</v>
      </c>
      <c r="F593" s="27"/>
      <c r="G593" s="27"/>
      <c r="H593" t="s">
        <v>218</v>
      </c>
      <c r="I593" s="21"/>
      <c r="J593" s="9">
        <v>140.1</v>
      </c>
      <c r="K593" s="26" t="s">
        <v>96</v>
      </c>
      <c r="L593" s="21">
        <v>2.76</v>
      </c>
      <c r="M593" s="21">
        <v>3</v>
      </c>
      <c r="N593" s="9">
        <v>2290</v>
      </c>
      <c r="O593" s="9"/>
      <c r="P593" s="22">
        <v>12.5</v>
      </c>
      <c r="Q593" s="18">
        <v>0</v>
      </c>
      <c r="R593" s="18">
        <v>0</v>
      </c>
      <c r="S593" s="18">
        <v>341.6</v>
      </c>
      <c r="T593" s="4">
        <f t="shared" si="505"/>
        <v>313.50775143746876</v>
      </c>
      <c r="U593" s="21"/>
      <c r="V593" s="21"/>
      <c r="W593" s="18">
        <v>20.56</v>
      </c>
      <c r="X593" s="18">
        <v>1.4550000000000001</v>
      </c>
      <c r="Y593" s="4">
        <f t="shared" si="506"/>
        <v>19.104999999999997</v>
      </c>
      <c r="Z593" s="18">
        <v>29.64</v>
      </c>
      <c r="AA593" s="18">
        <v>4.4029999999999996</v>
      </c>
      <c r="AB593" s="40">
        <v>922.4</v>
      </c>
      <c r="AC593" s="8"/>
      <c r="AD593" s="6"/>
      <c r="AE593" s="6"/>
      <c r="AF593" s="8"/>
      <c r="AG593" s="6"/>
      <c r="AH593" s="21"/>
      <c r="AI593" s="21"/>
      <c r="AJ593" s="22"/>
      <c r="AK593" s="22" t="s">
        <v>363</v>
      </c>
      <c r="AL593" s="18">
        <v>1822</v>
      </c>
      <c r="AM593" s="22"/>
      <c r="AN593" s="1">
        <f t="shared" si="514"/>
        <v>574.29792000000009</v>
      </c>
      <c r="AO593" s="1">
        <f t="shared" si="515"/>
        <v>34.565472</v>
      </c>
      <c r="AP593" s="1">
        <f t="shared" si="516"/>
        <v>49.830768000000006</v>
      </c>
      <c r="AQ593" s="1">
        <f t="shared" si="517"/>
        <v>7.402323599999999</v>
      </c>
      <c r="AR593" s="1">
        <f t="shared" si="518"/>
        <v>1550.7388799999999</v>
      </c>
      <c r="AS593" s="1">
        <f t="shared" si="519"/>
        <v>0</v>
      </c>
    </row>
    <row r="594" spans="1:48" s="26" customFormat="1" x14ac:dyDescent="0.3">
      <c r="A594" s="24">
        <v>45461</v>
      </c>
      <c r="B594" s="25" t="s">
        <v>32</v>
      </c>
      <c r="C594" s="26" t="s">
        <v>247</v>
      </c>
      <c r="D594"/>
      <c r="E594" s="26" t="s">
        <v>231</v>
      </c>
      <c r="F594" s="27"/>
      <c r="G594" s="27"/>
      <c r="H594" t="s">
        <v>218</v>
      </c>
      <c r="I594" s="21"/>
      <c r="J594" s="9">
        <v>116.57</v>
      </c>
      <c r="K594" s="26" t="s">
        <v>96</v>
      </c>
      <c r="L594" s="21">
        <v>2.4300000000000002</v>
      </c>
      <c r="M594" s="21">
        <v>3</v>
      </c>
      <c r="N594" s="9">
        <v>2245</v>
      </c>
      <c r="O594" s="9"/>
      <c r="P594" s="22">
        <v>12.1</v>
      </c>
      <c r="Q594" s="18">
        <v>0</v>
      </c>
      <c r="R594" s="18">
        <v>0</v>
      </c>
      <c r="S594" s="18">
        <v>357.6</v>
      </c>
      <c r="T594" s="4">
        <f t="shared" si="505"/>
        <v>424.93807454858609</v>
      </c>
      <c r="U594" s="21"/>
      <c r="V594" s="21"/>
      <c r="W594" s="18">
        <v>21.751999999999999</v>
      </c>
      <c r="X594" s="18">
        <v>1.794</v>
      </c>
      <c r="Y594" s="4">
        <f t="shared" si="506"/>
        <v>19.957999999999998</v>
      </c>
      <c r="Z594" s="18">
        <v>31.417000000000002</v>
      </c>
      <c r="AA594" s="18">
        <v>4.282</v>
      </c>
      <c r="AB594" s="40">
        <v>1146.0999999999999</v>
      </c>
      <c r="AC594" s="8"/>
      <c r="AD594" s="6"/>
      <c r="AE594" s="6"/>
      <c r="AF594" s="8"/>
      <c r="AG594" s="6"/>
      <c r="AH594" s="21"/>
      <c r="AI594" s="21"/>
      <c r="AJ594" s="22"/>
      <c r="AK594" s="22" t="s">
        <v>363</v>
      </c>
      <c r="AL594" s="18">
        <v>1836</v>
      </c>
      <c r="AM594" s="22"/>
      <c r="AN594" s="1">
        <f t="shared" si="514"/>
        <v>500.22518400000001</v>
      </c>
      <c r="AO594" s="1">
        <f t="shared" si="515"/>
        <v>30.427567679999999</v>
      </c>
      <c r="AP594" s="1">
        <f t="shared" si="516"/>
        <v>43.947356280000001</v>
      </c>
      <c r="AQ594" s="1">
        <f t="shared" si="517"/>
        <v>5.9898328799999998</v>
      </c>
      <c r="AR594" s="1">
        <f t="shared" si="518"/>
        <v>1603.2105239999999</v>
      </c>
      <c r="AS594" s="1">
        <f t="shared" si="519"/>
        <v>0</v>
      </c>
    </row>
    <row r="595" spans="1:48" s="26" customFormat="1" x14ac:dyDescent="0.3">
      <c r="A595" s="24">
        <v>45483</v>
      </c>
      <c r="B595" s="25" t="s">
        <v>32</v>
      </c>
      <c r="C595" t="s">
        <v>247</v>
      </c>
      <c r="D595"/>
      <c r="E595" s="26" t="s">
        <v>231</v>
      </c>
      <c r="F595" s="27"/>
      <c r="G595" s="27"/>
      <c r="H595" t="s">
        <v>218</v>
      </c>
      <c r="I595" s="21"/>
      <c r="J595" s="9">
        <v>83.35</v>
      </c>
      <c r="K595" s="26" t="s">
        <v>96</v>
      </c>
      <c r="L595" s="21">
        <v>2.92</v>
      </c>
      <c r="M595" s="21">
        <v>3</v>
      </c>
      <c r="N595" s="9">
        <v>2146</v>
      </c>
      <c r="O595" s="9"/>
      <c r="P595" s="22">
        <v>15.3</v>
      </c>
      <c r="Q595" s="18">
        <v>0</v>
      </c>
      <c r="R595" s="4">
        <v>0</v>
      </c>
      <c r="S595" s="4">
        <v>562.79999999999995</v>
      </c>
      <c r="T595" s="4">
        <f t="shared" si="505"/>
        <v>310.07018173087062</v>
      </c>
      <c r="U595" s="21"/>
      <c r="V595" s="21"/>
      <c r="W595" s="4">
        <v>25</v>
      </c>
      <c r="X595" s="4">
        <v>3.4820000000000002</v>
      </c>
      <c r="Y595" s="4">
        <f t="shared" si="506"/>
        <v>21.518000000000001</v>
      </c>
      <c r="Z595" s="4">
        <v>32.06</v>
      </c>
      <c r="AA595" s="4">
        <v>4.2869999999999999</v>
      </c>
      <c r="AB595" s="4">
        <v>919</v>
      </c>
      <c r="AC595" s="8"/>
      <c r="AD595" s="6"/>
      <c r="AE595" s="6"/>
      <c r="AF595" s="8"/>
      <c r="AG595" s="6"/>
      <c r="AH595" s="21"/>
      <c r="AI595" s="21"/>
      <c r="AJ595" s="22"/>
      <c r="AK595" s="22" t="s">
        <v>363</v>
      </c>
      <c r="AL595" s="4">
        <v>1810</v>
      </c>
      <c r="AM595" s="22"/>
      <c r="AN595" s="1">
        <f t="shared" ref="AN595" si="520">S595*J595*0.012</f>
        <v>562.91255999999987</v>
      </c>
      <c r="AO595" s="1">
        <f t="shared" ref="AO595" si="521">W595*J595*0.012</f>
        <v>25.004999999999999</v>
      </c>
      <c r="AP595" s="1">
        <f t="shared" ref="AP595" si="522">Z595*J595*0.012</f>
        <v>32.066412</v>
      </c>
      <c r="AQ595" s="1">
        <f t="shared" ref="AQ595" si="523">AA595*J595*0.012</f>
        <v>4.2878574</v>
      </c>
      <c r="AR595" s="1">
        <f>AB595*J595*0.012</f>
        <v>919.18379999999991</v>
      </c>
      <c r="AS595" s="1">
        <f t="shared" ref="AS595:AS596" si="524">R595*J595*0.012</f>
        <v>0</v>
      </c>
    </row>
    <row r="596" spans="1:48" s="26" customFormat="1" x14ac:dyDescent="0.3">
      <c r="A596" s="24">
        <v>45527</v>
      </c>
      <c r="B596" s="25" t="s">
        <v>46</v>
      </c>
      <c r="C596" s="26" t="s">
        <v>247</v>
      </c>
      <c r="D596"/>
      <c r="E596" s="26" t="s">
        <v>231</v>
      </c>
      <c r="F596" s="27"/>
      <c r="G596" s="27"/>
      <c r="H596" t="s">
        <v>218</v>
      </c>
      <c r="I596" s="21"/>
      <c r="J596" s="9">
        <v>93</v>
      </c>
      <c r="K596" s="26" t="s">
        <v>96</v>
      </c>
      <c r="L596" s="21">
        <v>3.94</v>
      </c>
      <c r="M596" s="2">
        <v>2.9</v>
      </c>
      <c r="N596" s="9">
        <v>2247</v>
      </c>
      <c r="O596" s="9"/>
      <c r="P596" s="22"/>
      <c r="Q596" s="18">
        <v>0</v>
      </c>
      <c r="R596" s="4">
        <v>0</v>
      </c>
      <c r="S596" s="4">
        <v>403.8</v>
      </c>
      <c r="T596" s="4">
        <f t="shared" si="505"/>
        <v>289.01254810748441</v>
      </c>
      <c r="U596" s="21"/>
      <c r="V596" s="21"/>
      <c r="W596" s="4">
        <v>21.105</v>
      </c>
      <c r="X596" s="4">
        <v>1.5980000000000001</v>
      </c>
      <c r="Y596" s="4">
        <f t="shared" si="506"/>
        <v>19.507000000000001</v>
      </c>
      <c r="Z596" s="4">
        <v>39.177</v>
      </c>
      <c r="AA596" s="4">
        <v>5.6639999999999997</v>
      </c>
      <c r="AB596" s="4">
        <v>5075.2</v>
      </c>
      <c r="AC596" s="8"/>
      <c r="AD596" s="6"/>
      <c r="AE596" s="6"/>
      <c r="AF596" s="8"/>
      <c r="AG596" s="6"/>
      <c r="AH596" s="21"/>
      <c r="AI596" s="21"/>
      <c r="AJ596" s="22"/>
      <c r="AK596" s="22" t="s">
        <v>363</v>
      </c>
      <c r="AL596" s="4">
        <v>1870</v>
      </c>
      <c r="AM596" s="22"/>
      <c r="AN596" s="1">
        <f t="shared" ref="AN596" si="525">S596*J596*0.012</f>
        <v>450.64080000000001</v>
      </c>
      <c r="AO596" s="1">
        <f t="shared" ref="AO596" si="526">W596*J596*0.012</f>
        <v>23.553180000000001</v>
      </c>
      <c r="AP596" s="1">
        <f t="shared" ref="AP596" si="527">Z596*J596*0.012</f>
        <v>43.721531999999996</v>
      </c>
      <c r="AQ596" s="1">
        <f>AA596*J596*0.012</f>
        <v>6.3210239999999995</v>
      </c>
      <c r="AR596" s="1">
        <f>AB596*J596*0.012</f>
        <v>5663.9232000000002</v>
      </c>
      <c r="AS596" s="1">
        <f t="shared" si="524"/>
        <v>0</v>
      </c>
    </row>
    <row r="597" spans="1:48" s="26" customFormat="1" x14ac:dyDescent="0.3">
      <c r="A597" s="24">
        <v>45547</v>
      </c>
      <c r="B597" s="25"/>
      <c r="C597" t="s">
        <v>247</v>
      </c>
      <c r="D597"/>
      <c r="E597" s="26" t="s">
        <v>231</v>
      </c>
      <c r="F597" s="27"/>
      <c r="G597" s="27"/>
      <c r="H597" t="s">
        <v>218</v>
      </c>
      <c r="I597" s="21"/>
      <c r="J597" s="9">
        <v>80.27</v>
      </c>
      <c r="K597" s="26" t="s">
        <v>96</v>
      </c>
      <c r="L597" s="21">
        <v>2.73</v>
      </c>
      <c r="M597" s="21">
        <v>3</v>
      </c>
      <c r="N597" s="9">
        <v>2444</v>
      </c>
      <c r="O597" s="9"/>
      <c r="P597" s="22">
        <v>13.3</v>
      </c>
      <c r="Q597" s="18">
        <v>0</v>
      </c>
      <c r="R597" s="4">
        <v>0</v>
      </c>
      <c r="S597" s="4">
        <v>411.2</v>
      </c>
      <c r="T597" s="4">
        <f t="shared" si="505"/>
        <v>368.50931683314332</v>
      </c>
      <c r="U597" s="21"/>
      <c r="V597" s="21"/>
      <c r="W597" s="4">
        <v>23.184000000000001</v>
      </c>
      <c r="X597" s="4">
        <v>2.7080000000000002</v>
      </c>
      <c r="Y597" s="4">
        <f t="shared" si="506"/>
        <v>20.475999999999999</v>
      </c>
      <c r="Z597" s="4">
        <v>37.011000000000003</v>
      </c>
      <c r="AA597" s="4">
        <v>5.44</v>
      </c>
      <c r="AB597" s="4">
        <v>1237.5999999999999</v>
      </c>
      <c r="AC597" s="8"/>
      <c r="AD597" s="6"/>
      <c r="AE597" s="6"/>
      <c r="AF597" s="8"/>
      <c r="AG597" s="6"/>
      <c r="AH597" s="21"/>
      <c r="AI597" s="21"/>
      <c r="AJ597" s="22"/>
      <c r="AK597" s="22" t="s">
        <v>363</v>
      </c>
      <c r="AL597" s="4">
        <v>1896</v>
      </c>
      <c r="AM597" s="22"/>
      <c r="AN597" s="1">
        <f t="shared" ref="AN597" si="528">S597*J597*0.012</f>
        <v>396.08428799999996</v>
      </c>
      <c r="AO597" s="1">
        <f t="shared" ref="AO597" si="529">W597*J597*0.012</f>
        <v>22.331756160000001</v>
      </c>
      <c r="AP597" s="1">
        <f t="shared" ref="AP597" si="530">Z597*J597*0.012</f>
        <v>35.650475639999996</v>
      </c>
      <c r="AQ597" s="1">
        <f>AA597*J597*0.012</f>
        <v>5.2400256000000001</v>
      </c>
      <c r="AR597" s="1">
        <f>AB597*J597*0.012</f>
        <v>1192.105824</v>
      </c>
      <c r="AS597" s="1">
        <f t="shared" ref="AS597" si="531">R597*J597*0.012</f>
        <v>0</v>
      </c>
    </row>
    <row r="598" spans="1:48" s="26" customFormat="1" x14ac:dyDescent="0.3">
      <c r="A598" s="24">
        <v>45595</v>
      </c>
      <c r="B598" s="25" t="s">
        <v>40</v>
      </c>
      <c r="C598" s="26" t="s">
        <v>247</v>
      </c>
      <c r="D598"/>
      <c r="E598" s="26" t="s">
        <v>231</v>
      </c>
      <c r="F598" s="27"/>
      <c r="G598" s="27"/>
      <c r="H598" t="s">
        <v>218</v>
      </c>
      <c r="I598" s="21"/>
      <c r="J598" s="9">
        <v>79.540000000000006</v>
      </c>
      <c r="K598" s="26" t="s">
        <v>96</v>
      </c>
      <c r="L598" s="21">
        <v>2.78</v>
      </c>
      <c r="M598" s="21">
        <v>3</v>
      </c>
      <c r="N598" s="9">
        <v>2274</v>
      </c>
      <c r="O598" s="9"/>
      <c r="P598" s="22">
        <v>12.3</v>
      </c>
      <c r="Q598" s="18">
        <v>0</v>
      </c>
      <c r="R598" s="4">
        <v>0</v>
      </c>
      <c r="S598" s="4">
        <v>407.4</v>
      </c>
      <c r="T598" s="4">
        <f>(X598*1.79+Y598*2.68+5.56*Z598+1.82*AA598+50000*(10^-L598)-R598)</f>
        <v>358.62372537187798</v>
      </c>
      <c r="U598" s="21"/>
      <c r="V598" s="21"/>
      <c r="W598" s="4">
        <v>29.559000000000001</v>
      </c>
      <c r="X598" s="4">
        <v>6.46</v>
      </c>
      <c r="Y598" s="4">
        <f t="shared" si="506"/>
        <v>23.099</v>
      </c>
      <c r="Z598" s="4">
        <v>34.716999999999999</v>
      </c>
      <c r="AA598" s="4">
        <v>5.0270000000000001</v>
      </c>
      <c r="AB598" s="4"/>
      <c r="AC598" s="8"/>
      <c r="AD598" s="6"/>
      <c r="AE598" s="6"/>
      <c r="AF598" s="8"/>
      <c r="AG598" s="6"/>
      <c r="AH598" s="21"/>
      <c r="AI598" s="21"/>
      <c r="AJ598" s="22"/>
      <c r="AK598" s="22" t="s">
        <v>363</v>
      </c>
      <c r="AL598" s="4">
        <v>2028</v>
      </c>
      <c r="AM598" s="22"/>
      <c r="AN598" s="1">
        <f t="shared" ref="AN598:AN599" si="532">S598*J598*0.012</f>
        <v>388.85515200000003</v>
      </c>
      <c r="AO598" s="1">
        <f t="shared" ref="AO598:AO599" si="533">W598*J598*0.012</f>
        <v>28.213474320000007</v>
      </c>
      <c r="AP598" s="1">
        <f t="shared" ref="AP598:AP599" si="534">Z598*J598*0.012</f>
        <v>33.136682160000007</v>
      </c>
      <c r="AQ598" s="1">
        <f t="shared" ref="AQ598:AQ599" si="535">AA598*J598*0.012</f>
        <v>4.7981709600000011</v>
      </c>
      <c r="AR598" s="1"/>
      <c r="AS598" s="1">
        <f t="shared" ref="AS598:AS599" si="536">R598*J598*0.012</f>
        <v>0</v>
      </c>
    </row>
    <row r="599" spans="1:48" s="26" customFormat="1" x14ac:dyDescent="0.3">
      <c r="A599" s="24">
        <v>45617</v>
      </c>
      <c r="B599" s="25"/>
      <c r="C599" t="s">
        <v>247</v>
      </c>
      <c r="D599"/>
      <c r="E599" s="26" t="s">
        <v>231</v>
      </c>
      <c r="F599" s="27"/>
      <c r="G599" s="27"/>
      <c r="H599" t="s">
        <v>218</v>
      </c>
      <c r="I599" s="21"/>
      <c r="J599" s="9">
        <v>96.7</v>
      </c>
      <c r="K599" s="26" t="s">
        <v>96</v>
      </c>
      <c r="L599" s="21">
        <v>3.67</v>
      </c>
      <c r="M599" s="21">
        <v>3</v>
      </c>
      <c r="N599" s="9">
        <v>2401</v>
      </c>
      <c r="O599" s="9"/>
      <c r="P599" s="22">
        <v>10.8</v>
      </c>
      <c r="Q599" s="18">
        <v>0</v>
      </c>
      <c r="R599" s="4">
        <v>0</v>
      </c>
      <c r="S599" s="4">
        <v>419.6</v>
      </c>
      <c r="T599" s="4">
        <f>(X599*1.79+Y599*2.68+5.56*Z599+1.82*AA599+50000*(10^-L599)-R599)</f>
        <v>318.74417044751112</v>
      </c>
      <c r="U599" s="21"/>
      <c r="V599" s="21"/>
      <c r="W599" s="4">
        <v>35.496000000000002</v>
      </c>
      <c r="X599" s="4">
        <v>4.7300000000000004</v>
      </c>
      <c r="Y599" s="4">
        <f t="shared" si="506"/>
        <v>30.766000000000002</v>
      </c>
      <c r="Z599" s="4">
        <v>37.052</v>
      </c>
      <c r="AA599" s="4">
        <v>6.1130000000000004</v>
      </c>
      <c r="AB599" s="4">
        <v>1444.5</v>
      </c>
      <c r="AC599" s="8"/>
      <c r="AD599" s="6"/>
      <c r="AE599" s="6"/>
      <c r="AF599" s="8"/>
      <c r="AG599" s="6"/>
      <c r="AH599" s="21"/>
      <c r="AI599" s="21"/>
      <c r="AJ599" s="22"/>
      <c r="AK599" s="22" t="s">
        <v>363</v>
      </c>
      <c r="AL599" s="4">
        <v>2122</v>
      </c>
      <c r="AM599" s="22"/>
      <c r="AN599" s="1">
        <f t="shared" si="532"/>
        <v>486.90384000000012</v>
      </c>
      <c r="AO599" s="1">
        <f t="shared" si="533"/>
        <v>41.189558400000003</v>
      </c>
      <c r="AP599" s="1">
        <f t="shared" si="534"/>
        <v>42.995140800000001</v>
      </c>
      <c r="AQ599" s="1">
        <f t="shared" si="535"/>
        <v>7.0935252000000011</v>
      </c>
      <c r="AR599" s="1">
        <f t="shared" ref="AR599" si="537">AB599*J599*0.012</f>
        <v>1676.1977999999999</v>
      </c>
      <c r="AS599" s="1">
        <f t="shared" si="536"/>
        <v>0</v>
      </c>
    </row>
    <row r="600" spans="1:48" s="26" customFormat="1" x14ac:dyDescent="0.3">
      <c r="A600" s="24">
        <v>45644</v>
      </c>
      <c r="B600" s="25" t="s">
        <v>419</v>
      </c>
      <c r="C600" s="26" t="s">
        <v>247</v>
      </c>
      <c r="D600"/>
      <c r="E600" s="26" t="s">
        <v>231</v>
      </c>
      <c r="F600" s="27"/>
      <c r="G600" s="27"/>
      <c r="H600" t="s">
        <v>93</v>
      </c>
      <c r="I600" s="21"/>
      <c r="J600" s="9">
        <v>151.1</v>
      </c>
      <c r="K600" s="26" t="s">
        <v>96</v>
      </c>
      <c r="L600" s="21">
        <v>2.86</v>
      </c>
      <c r="M600" s="21">
        <v>3</v>
      </c>
      <c r="N600" s="9">
        <v>2404</v>
      </c>
      <c r="O600" s="9"/>
      <c r="P600" s="22">
        <v>10</v>
      </c>
      <c r="Q600" s="18">
        <v>0</v>
      </c>
      <c r="R600" s="4">
        <v>0</v>
      </c>
      <c r="S600" s="4">
        <v>507.4</v>
      </c>
      <c r="T600" s="4">
        <f>(X600*1.79+Y600*2.68+5.56*Z600+1.82*AA600+50000*(10^-L600)-R600)</f>
        <v>443.00943323014423</v>
      </c>
      <c r="U600" s="21"/>
      <c r="V600" s="21"/>
      <c r="W600" s="4">
        <v>45.139000000000003</v>
      </c>
      <c r="X600" s="4">
        <v>3.77</v>
      </c>
      <c r="Y600" s="4">
        <f t="shared" si="506"/>
        <v>41.369</v>
      </c>
      <c r="Z600" s="4">
        <v>44.213000000000001</v>
      </c>
      <c r="AA600" s="4">
        <v>5.7960000000000003</v>
      </c>
      <c r="AB600" s="4">
        <v>1507.7</v>
      </c>
      <c r="AC600" s="8"/>
      <c r="AD600" s="6"/>
      <c r="AE600" s="6"/>
      <c r="AF600" s="8"/>
      <c r="AG600" s="6"/>
      <c r="AH600" s="21"/>
      <c r="AI600" s="21"/>
      <c r="AJ600" s="22"/>
      <c r="AK600" s="22" t="s">
        <v>363</v>
      </c>
      <c r="AL600" s="4">
        <v>2074</v>
      </c>
      <c r="AM600" s="22"/>
      <c r="AN600" s="1">
        <f t="shared" ref="AN600:AN601" si="538">S600*J600*0.012</f>
        <v>920.01768000000004</v>
      </c>
      <c r="AO600" s="1">
        <f t="shared" ref="AO600:AO601" si="539">W600*J600*0.012</f>
        <v>81.846034800000012</v>
      </c>
      <c r="AP600" s="1">
        <f t="shared" ref="AP600:AP601" si="540">Z600*J600*0.012</f>
        <v>80.167011599999995</v>
      </c>
      <c r="AQ600" s="1">
        <f t="shared" ref="AQ600:AQ601" si="541">AA600*J600*0.012</f>
        <v>10.5093072</v>
      </c>
      <c r="AR600" s="1">
        <f t="shared" ref="AR600:AR601" si="542">AB600*J600*0.012</f>
        <v>2733.7616400000002</v>
      </c>
      <c r="AS600" s="1">
        <f t="shared" ref="AS600:AS601" si="543">R600*J600*0.012</f>
        <v>0</v>
      </c>
    </row>
    <row r="601" spans="1:48" s="26" customFormat="1" x14ac:dyDescent="0.3">
      <c r="A601" s="24">
        <v>45687</v>
      </c>
      <c r="B601" s="25" t="s">
        <v>425</v>
      </c>
      <c r="C601" t="s">
        <v>247</v>
      </c>
      <c r="D601"/>
      <c r="E601" s="26" t="s">
        <v>231</v>
      </c>
      <c r="F601" s="27"/>
      <c r="G601" s="27"/>
      <c r="H601" t="s">
        <v>218</v>
      </c>
      <c r="I601" s="21"/>
      <c r="J601" s="9">
        <v>86.5</v>
      </c>
      <c r="K601" s="26" t="s">
        <v>96</v>
      </c>
      <c r="L601" s="21">
        <v>2.95</v>
      </c>
      <c r="M601" s="21">
        <v>3</v>
      </c>
      <c r="N601" s="9">
        <v>2262</v>
      </c>
      <c r="O601" s="9"/>
      <c r="P601" s="22">
        <v>9.1</v>
      </c>
      <c r="Q601" s="18">
        <v>0</v>
      </c>
      <c r="R601" s="4">
        <v>0</v>
      </c>
      <c r="S601" s="4">
        <v>432.2</v>
      </c>
      <c r="T601" s="4">
        <f>(X601*1.79+Y601*2.68+5.56*Z601+1.82*AA601+50000*(10^-L601)-R601)</f>
        <v>377.36448271509812</v>
      </c>
      <c r="U601" s="21"/>
      <c r="V601" s="21"/>
      <c r="W601" s="4">
        <v>37.273000000000003</v>
      </c>
      <c r="X601" s="4">
        <v>4.0220000000000002</v>
      </c>
      <c r="Y601" s="4">
        <f t="shared" si="506"/>
        <v>33.251000000000005</v>
      </c>
      <c r="Z601" s="4">
        <v>38.67</v>
      </c>
      <c r="AA601" s="4">
        <v>5.4649999999999999</v>
      </c>
      <c r="AB601" s="4">
        <v>1302.4000000000001</v>
      </c>
      <c r="AC601" s="8"/>
      <c r="AD601" s="6"/>
      <c r="AE601" s="6"/>
      <c r="AF601" s="8"/>
      <c r="AG601" s="6"/>
      <c r="AH601" s="21"/>
      <c r="AI601" s="21"/>
      <c r="AJ601" s="22"/>
      <c r="AK601" s="22" t="s">
        <v>363</v>
      </c>
      <c r="AL601" s="4">
        <v>1922</v>
      </c>
      <c r="AM601" s="22"/>
      <c r="AN601" s="1">
        <f t="shared" si="538"/>
        <v>448.62359999999995</v>
      </c>
      <c r="AO601" s="1">
        <f t="shared" si="539"/>
        <v>38.689374000000001</v>
      </c>
      <c r="AP601" s="1">
        <f t="shared" si="540"/>
        <v>40.13946</v>
      </c>
      <c r="AQ601" s="1">
        <f t="shared" si="541"/>
        <v>5.6726700000000001</v>
      </c>
      <c r="AR601" s="1">
        <f t="shared" si="542"/>
        <v>1351.8912</v>
      </c>
      <c r="AS601" s="1">
        <f t="shared" si="543"/>
        <v>0</v>
      </c>
    </row>
    <row r="602" spans="1:48" x14ac:dyDescent="0.3">
      <c r="F602" s="11"/>
      <c r="G602" s="11"/>
      <c r="T602" s="18"/>
    </row>
    <row r="603" spans="1:48" x14ac:dyDescent="0.3">
      <c r="A603" s="24">
        <v>45098</v>
      </c>
      <c r="B603" s="12" t="s">
        <v>278</v>
      </c>
      <c r="C603" t="s">
        <v>247</v>
      </c>
      <c r="E603" s="16" t="s">
        <v>292</v>
      </c>
      <c r="F603" s="11"/>
      <c r="G603" s="11"/>
      <c r="H603" t="s">
        <v>276</v>
      </c>
      <c r="J603" s="9">
        <v>924</v>
      </c>
      <c r="K603" s="26" t="s">
        <v>96</v>
      </c>
      <c r="L603" s="21">
        <v>6.93</v>
      </c>
      <c r="M603" s="21">
        <v>6.4</v>
      </c>
      <c r="N603" s="9">
        <v>573</v>
      </c>
      <c r="O603" s="9">
        <v>568</v>
      </c>
      <c r="R603" s="40">
        <v>68.400000000000006</v>
      </c>
      <c r="S603" s="40">
        <v>-54.4</v>
      </c>
      <c r="T603" s="18" cm="1">
        <f t="array" ref="T603">_xlfn.IFS(L603&lt;=5,IF(ISNUMBER(X603)=TRUE,X603*1.79+AA603*1.8+Z603*5.56+50000*(10^-L603)-R603,1.79+AA603*1.8+Z603*5.56+50000*(10^-L603)-R603),L603&gt;5,IF(ISNUMBER(X603)=TRUE,X603*1.79+AA603*1.8+50000*(10^-L603)-R603,AA603*1.8+50000*(10^-L603)-R603))</f>
        <v>-67.077575512225309</v>
      </c>
      <c r="U603" s="6"/>
      <c r="V603" s="6"/>
      <c r="W603" s="8">
        <v>1.1679999999999999</v>
      </c>
      <c r="X603" s="8">
        <v>0.105</v>
      </c>
      <c r="Y603" s="8"/>
      <c r="Z603" s="8">
        <v>0.37</v>
      </c>
      <c r="AA603" s="8">
        <v>0.627</v>
      </c>
      <c r="AB603" s="40">
        <v>209.59</v>
      </c>
      <c r="AC603" s="8">
        <v>69.81</v>
      </c>
      <c r="AD603" s="6">
        <v>21.55</v>
      </c>
      <c r="AE603" s="6">
        <v>13.23</v>
      </c>
      <c r="AF603" s="8">
        <v>2.23</v>
      </c>
      <c r="AG603" s="8">
        <v>10</v>
      </c>
      <c r="AH603" s="41">
        <v>0.05</v>
      </c>
      <c r="AI603" s="41">
        <v>0.03</v>
      </c>
      <c r="AJ603" s="6">
        <v>0.2</v>
      </c>
      <c r="AK603" s="6"/>
      <c r="AL603" s="6"/>
      <c r="AN603" s="1">
        <f>S603*J603*0.012</f>
        <v>-603.18719999999996</v>
      </c>
      <c r="AO603" s="1">
        <f>W603*J603*0.012</f>
        <v>12.950784000000001</v>
      </c>
      <c r="AP603" s="1">
        <f>Z603*J603*0.012</f>
        <v>4.1025600000000004</v>
      </c>
      <c r="AQ603" s="1">
        <f>AA603*J603*0.012</f>
        <v>6.9521759999999997</v>
      </c>
      <c r="AR603" s="1">
        <f>AB603*J603*0.012</f>
        <v>2323.9339199999999</v>
      </c>
    </row>
    <row r="604" spans="1:48" x14ac:dyDescent="0.3">
      <c r="F604" s="11"/>
      <c r="G604" s="11"/>
      <c r="J604" s="14"/>
      <c r="T604" s="18"/>
      <c r="AD604" s="8"/>
      <c r="AE604" s="8"/>
      <c r="AU604" s="13"/>
      <c r="AV604" s="13"/>
    </row>
    <row r="605" spans="1:48" x14ac:dyDescent="0.3">
      <c r="A605" s="5">
        <v>44964</v>
      </c>
      <c r="B605" s="12" t="s">
        <v>233</v>
      </c>
      <c r="C605" t="s">
        <v>234</v>
      </c>
      <c r="E605" t="s">
        <v>280</v>
      </c>
      <c r="F605" s="11"/>
      <c r="G605" s="11"/>
      <c r="H605" t="s">
        <v>218</v>
      </c>
      <c r="J605" s="1">
        <v>4346</v>
      </c>
      <c r="K605" t="s">
        <v>96</v>
      </c>
      <c r="L605" s="2">
        <v>7.07</v>
      </c>
      <c r="M605" s="2">
        <v>6.8</v>
      </c>
      <c r="N605" s="1">
        <v>365</v>
      </c>
      <c r="O605" s="1">
        <v>381</v>
      </c>
      <c r="Q605" s="4">
        <v>57</v>
      </c>
      <c r="R605" s="4">
        <v>60</v>
      </c>
      <c r="S605" s="4">
        <v>-55.4</v>
      </c>
      <c r="T605" s="18" cm="1">
        <f t="array" ref="T605">_xlfn.IFS(L605&lt;=5,IF(ISNUMBER(X605)=TRUE,X605*1.79+AA605*1.8+Z605*5.56+50000*(10^-L605)-Q605,1.79+AA605*1.8+Z605*5.56+50000*(10^-L605)-Q605),L605&gt;5,IF(ISNUMBER(X605)=TRUE,X605*1.79+AA605*1.8+50000*(10^-L605)-Q605,AA605*1.8+50000*(10^-L605)-Q605))</f>
        <v>-56.139614309808991</v>
      </c>
      <c r="W605" s="3">
        <v>1.5</v>
      </c>
      <c r="X605" s="3">
        <v>0.247</v>
      </c>
      <c r="Z605" s="3">
        <v>0.49299999999999999</v>
      </c>
      <c r="AA605" s="3">
        <v>0.23</v>
      </c>
      <c r="AB605" s="4">
        <v>113.51</v>
      </c>
      <c r="AC605" s="3">
        <v>47.2</v>
      </c>
      <c r="AD605" s="8">
        <v>14.7</v>
      </c>
      <c r="AE605" s="8">
        <v>5.98</v>
      </c>
      <c r="AF605" s="3">
        <v>1.58</v>
      </c>
      <c r="AG605" s="3">
        <v>6.2</v>
      </c>
      <c r="AH605" s="2" t="s">
        <v>161</v>
      </c>
      <c r="AI605" s="2" t="s">
        <v>162</v>
      </c>
      <c r="AJ605" s="3" t="s">
        <v>159</v>
      </c>
      <c r="AN605" s="1">
        <f t="shared" ref="AN605:AN610" si="544">S605*J605*0.012</f>
        <v>-2889.2208000000001</v>
      </c>
      <c r="AO605" s="1">
        <f t="shared" ref="AO605:AO610" si="545">W605*J605*0.012</f>
        <v>78.228000000000009</v>
      </c>
      <c r="AP605" s="1">
        <f t="shared" ref="AP605:AP610" si="546">Z605*J605*0.012</f>
        <v>25.710936</v>
      </c>
      <c r="AQ605" s="1">
        <f t="shared" ref="AQ605:AQ610" si="547">AA605*J605*0.012</f>
        <v>11.994960000000001</v>
      </c>
      <c r="AR605" s="1">
        <f t="shared" ref="AR605:AR610" si="548">AB605*J605*0.012</f>
        <v>5919.7735200000006</v>
      </c>
      <c r="AS605" s="1">
        <f>R605*J605*0.012</f>
        <v>3129.12</v>
      </c>
    </row>
    <row r="606" spans="1:48" x14ac:dyDescent="0.3">
      <c r="A606" s="5">
        <v>45022</v>
      </c>
      <c r="B606" s="12" t="s">
        <v>55</v>
      </c>
      <c r="C606" t="s">
        <v>249</v>
      </c>
      <c r="E606" t="s">
        <v>280</v>
      </c>
      <c r="H606" t="s">
        <v>218</v>
      </c>
      <c r="J606" s="1">
        <v>6650</v>
      </c>
      <c r="K606" t="s">
        <v>96</v>
      </c>
      <c r="L606" s="2">
        <v>7.16</v>
      </c>
      <c r="M606" s="2">
        <v>6.6</v>
      </c>
      <c r="N606" s="1">
        <v>291</v>
      </c>
      <c r="O606" s="1">
        <v>319</v>
      </c>
      <c r="R606" s="4">
        <v>63</v>
      </c>
      <c r="S606" s="4">
        <v>-49</v>
      </c>
      <c r="T606" s="18" cm="1">
        <f t="array" ref="T606">_xlfn.IFS(L606&lt;=5,IF(ISNUMBER(X606)=TRUE,X606*1.79+AA606*1.8+Z606*5.56+50000*(10^-L606)-R606,1.79+AA606*1.8+Z606*5.56+50000*(10^-L606)-R606),L606&gt;5,IF(ISNUMBER(X606)=TRUE,X606*1.79+AA606*1.8+50000*(10^-L606)-R606,AA606*1.8+50000*(10^-L606)-R606))</f>
        <v>-62.472150845145407</v>
      </c>
      <c r="W606" s="3">
        <v>1.19</v>
      </c>
      <c r="X606" s="3">
        <v>0.121</v>
      </c>
      <c r="Z606" s="3">
        <v>0.47899999999999998</v>
      </c>
      <c r="AA606" s="3">
        <v>0.17100000000000001</v>
      </c>
      <c r="AB606" s="4">
        <v>93.26</v>
      </c>
      <c r="AC606" s="3">
        <v>42.1</v>
      </c>
      <c r="AD606" s="3">
        <v>12.8</v>
      </c>
      <c r="AE606" s="3">
        <v>5.51</v>
      </c>
      <c r="AF606" s="3">
        <v>1.6</v>
      </c>
      <c r="AG606" s="3">
        <v>5.7</v>
      </c>
      <c r="AH606" s="2" t="s">
        <v>161</v>
      </c>
      <c r="AI606" s="2" t="s">
        <v>162</v>
      </c>
      <c r="AJ606" s="3" t="s">
        <v>159</v>
      </c>
      <c r="AN606" s="1">
        <f t="shared" si="544"/>
        <v>-3910.2000000000003</v>
      </c>
      <c r="AO606" s="1">
        <f t="shared" si="545"/>
        <v>94.962000000000003</v>
      </c>
      <c r="AP606" s="1">
        <f t="shared" si="546"/>
        <v>38.224199999999996</v>
      </c>
      <c r="AQ606" s="1">
        <f t="shared" si="547"/>
        <v>13.645800000000001</v>
      </c>
      <c r="AR606" s="1">
        <f t="shared" si="548"/>
        <v>7442.1480000000001</v>
      </c>
      <c r="AS606" s="1">
        <f t="shared" ref="AS606:AS609" si="549">R606*J606*0.012</f>
        <v>5027.4000000000005</v>
      </c>
    </row>
    <row r="607" spans="1:48" x14ac:dyDescent="0.3">
      <c r="A607" s="5">
        <v>45098</v>
      </c>
      <c r="B607" s="12" t="s">
        <v>279</v>
      </c>
      <c r="C607" t="s">
        <v>249</v>
      </c>
      <c r="E607" t="s">
        <v>280</v>
      </c>
      <c r="H607" t="s">
        <v>276</v>
      </c>
      <c r="J607" s="1">
        <v>974</v>
      </c>
      <c r="K607" t="s">
        <v>96</v>
      </c>
      <c r="L607" s="2">
        <v>7.46</v>
      </c>
      <c r="M607" s="2">
        <v>6.6</v>
      </c>
      <c r="N607" s="1">
        <v>505</v>
      </c>
      <c r="O607" s="1">
        <v>501</v>
      </c>
      <c r="R607" s="6">
        <v>90</v>
      </c>
      <c r="S607" s="6">
        <v>-77</v>
      </c>
      <c r="T607" s="18" cm="1">
        <f t="array" ref="T607">_xlfn.IFS(L607&lt;=5,IF(ISNUMBER(X607)=TRUE,X607*1.79+AA607*1.8+Z607*5.56+50000*(10^-L607)-R607,1.79+AA607*1.8+Z607*5.56+50000*(10^-L607)-R607),L607&gt;5,IF(ISNUMBER(X607)=TRUE,X607*1.79+AA607*1.8+50000*(10^-L607)-R607,AA607*1.8+50000*(10^-L607)-R607))</f>
        <v>-89.282366315747737</v>
      </c>
      <c r="U607" s="6"/>
      <c r="V607" s="6"/>
      <c r="W607" s="8">
        <v>0.46600000000000003</v>
      </c>
      <c r="X607" s="8">
        <v>0.05</v>
      </c>
      <c r="Y607" s="8"/>
      <c r="Z607" s="8">
        <v>0.3</v>
      </c>
      <c r="AA607" s="8">
        <v>0.34799999999999998</v>
      </c>
      <c r="AB607" s="40">
        <v>147.58000000000001</v>
      </c>
      <c r="AC607" s="8">
        <v>60.31</v>
      </c>
      <c r="AD607" s="6">
        <v>18.23</v>
      </c>
      <c r="AE607" s="6">
        <v>12.59</v>
      </c>
      <c r="AF607" s="8">
        <v>2.06</v>
      </c>
      <c r="AG607" s="6">
        <v>14.5</v>
      </c>
      <c r="AH607" s="6">
        <v>0.05</v>
      </c>
      <c r="AI607" s="41">
        <v>0.03</v>
      </c>
      <c r="AJ607" s="6">
        <v>0.2</v>
      </c>
      <c r="AK607" s="6"/>
      <c r="AL607" s="6"/>
      <c r="AN607" s="1">
        <f t="shared" si="544"/>
        <v>-899.976</v>
      </c>
      <c r="AO607" s="1">
        <f t="shared" si="545"/>
        <v>5.4466080000000003</v>
      </c>
      <c r="AP607" s="1">
        <f t="shared" si="546"/>
        <v>3.5063999999999997</v>
      </c>
      <c r="AQ607" s="1">
        <f t="shared" si="547"/>
        <v>4.0674239999999999</v>
      </c>
      <c r="AR607" s="1">
        <f t="shared" si="548"/>
        <v>1724.9150400000001</v>
      </c>
      <c r="AS607" s="1">
        <f>R607*J607*0.012</f>
        <v>1051.92</v>
      </c>
    </row>
    <row r="608" spans="1:48" x14ac:dyDescent="0.3">
      <c r="A608" s="5">
        <v>45169</v>
      </c>
      <c r="B608" s="12" t="s">
        <v>82</v>
      </c>
      <c r="C608" t="s">
        <v>249</v>
      </c>
      <c r="E608" t="s">
        <v>297</v>
      </c>
      <c r="H608" t="s">
        <v>93</v>
      </c>
      <c r="J608" s="1">
        <f>9.05*449</f>
        <v>4063.4500000000003</v>
      </c>
      <c r="K608" t="s">
        <v>96</v>
      </c>
      <c r="L608" s="2">
        <v>6.29</v>
      </c>
      <c r="M608" s="2">
        <v>7</v>
      </c>
      <c r="N608" s="1">
        <v>410</v>
      </c>
      <c r="O608" s="1">
        <v>422</v>
      </c>
      <c r="P608" s="3">
        <v>17.399999999999999</v>
      </c>
      <c r="Q608" s="4">
        <v>63</v>
      </c>
      <c r="R608" s="4">
        <v>62.4</v>
      </c>
      <c r="S608" s="4">
        <v>-53.2</v>
      </c>
      <c r="T608" s="18" cm="1">
        <f t="array" ref="T608">_xlfn.IFS(L608&lt;=5,IF(ISNUMBER(X608)=TRUE,X608*1.79+AA608*1.8+Z608*5.56+50000*(10^-L608)-Q608,1.79+AA608*1.8+Z608*5.56+50000*(10^-L608)-Q608),L608&gt;5,IF(ISNUMBER(X608)=TRUE,X608*1.79+AA608*1.8+50000*(10^-L608)-Q608,AA608*1.8+50000*(10^-L608)-Q608))</f>
        <v>-61.392586930800434</v>
      </c>
      <c r="W608" s="3">
        <v>2.33</v>
      </c>
      <c r="X608" s="3">
        <v>0.223</v>
      </c>
      <c r="Z608" s="3">
        <v>1.58</v>
      </c>
      <c r="AA608" s="3">
        <v>0.65700000000000003</v>
      </c>
      <c r="AB608" s="4">
        <v>138.47999999999999</v>
      </c>
      <c r="AC608" s="6">
        <v>51.3</v>
      </c>
      <c r="AD608" s="6">
        <v>16.5</v>
      </c>
      <c r="AE608" s="8">
        <v>8</v>
      </c>
      <c r="AF608" s="8">
        <v>1.85</v>
      </c>
      <c r="AG608" s="6">
        <v>5.4</v>
      </c>
      <c r="AH608" s="2">
        <v>0.05</v>
      </c>
      <c r="AI608" s="2">
        <v>3.2000000000000001E-2</v>
      </c>
      <c r="AJ608" s="3">
        <v>0.2</v>
      </c>
      <c r="AN608" s="1">
        <f t="shared" si="544"/>
        <v>-2594.1064800000004</v>
      </c>
      <c r="AO608" s="1">
        <f t="shared" si="545"/>
        <v>113.61406200000002</v>
      </c>
      <c r="AP608" s="1">
        <f t="shared" si="546"/>
        <v>77.043012000000019</v>
      </c>
      <c r="AQ608" s="1">
        <f t="shared" si="547"/>
        <v>32.036239800000004</v>
      </c>
      <c r="AR608" s="1">
        <f t="shared" si="548"/>
        <v>6752.4786720000002</v>
      </c>
      <c r="AS608" s="1">
        <f t="shared" si="549"/>
        <v>3042.7113600000002</v>
      </c>
    </row>
    <row r="609" spans="1:48" x14ac:dyDescent="0.3">
      <c r="A609" s="5">
        <v>45366</v>
      </c>
      <c r="B609" s="12" t="s">
        <v>40</v>
      </c>
      <c r="C609" t="s">
        <v>249</v>
      </c>
      <c r="E609" t="s">
        <v>297</v>
      </c>
      <c r="H609" t="s">
        <v>218</v>
      </c>
      <c r="J609" s="1">
        <f>26.29*449</f>
        <v>11804.21</v>
      </c>
      <c r="K609" t="s">
        <v>96</v>
      </c>
      <c r="L609" s="2">
        <v>5.43</v>
      </c>
      <c r="M609" s="2">
        <v>6.4</v>
      </c>
      <c r="N609" s="1">
        <v>810</v>
      </c>
      <c r="P609" s="3">
        <v>10.5</v>
      </c>
      <c r="R609" s="4">
        <v>45.8</v>
      </c>
      <c r="S609" s="4">
        <v>-21.4</v>
      </c>
      <c r="T609" s="18" cm="1">
        <f t="array" ref="T609">_xlfn.IFS(L609&lt;=5,IF(ISNUMBER(X609)=TRUE,X609*1.79+AA609*1.8+Z609*5.56+50000*(10^-L609)-R609,1.79+AA609*1.8+Z609*5.56+50000*(10^-L609)-R609),L609&gt;5,IF(ISNUMBER(X609)=TRUE,X609*1.79+AA609*1.8+50000*(10^-L609)-R609,AA609*1.8+50000*(10^-L609)-R609))</f>
        <v>-44.207482385451414</v>
      </c>
      <c r="W609" s="3">
        <v>1.2909999999999999</v>
      </c>
      <c r="X609" s="3">
        <v>0.26500000000000001</v>
      </c>
      <c r="Z609" s="3">
        <v>1.2909999999999999</v>
      </c>
      <c r="AA609" s="3">
        <v>0.51800000000000002</v>
      </c>
      <c r="AB609" s="4">
        <v>412.4</v>
      </c>
      <c r="AC609" s="6"/>
      <c r="AD609" s="6"/>
      <c r="AE609" s="8"/>
      <c r="AF609" s="8"/>
      <c r="AG609" s="6"/>
      <c r="AK609" s="3" t="s">
        <v>363</v>
      </c>
      <c r="AL609" s="3">
        <v>676</v>
      </c>
      <c r="AN609" s="1">
        <f t="shared" si="544"/>
        <v>-3031.3211279999996</v>
      </c>
      <c r="AO609" s="1">
        <f t="shared" si="545"/>
        <v>182.87082131999998</v>
      </c>
      <c r="AP609" s="1">
        <f t="shared" si="546"/>
        <v>182.87082131999998</v>
      </c>
      <c r="AQ609" s="1">
        <f t="shared" si="547"/>
        <v>73.374969359999994</v>
      </c>
      <c r="AR609" s="1">
        <f>AB609*J609*0.012</f>
        <v>58416.674447999991</v>
      </c>
      <c r="AS609" s="1">
        <f t="shared" si="549"/>
        <v>6487.5938159999996</v>
      </c>
    </row>
    <row r="610" spans="1:48" x14ac:dyDescent="0.3">
      <c r="A610" s="5">
        <v>45527</v>
      </c>
      <c r="B610" s="12" t="s">
        <v>40</v>
      </c>
      <c r="C610" t="s">
        <v>249</v>
      </c>
      <c r="E610" t="s">
        <v>297</v>
      </c>
      <c r="H610" t="s">
        <v>93</v>
      </c>
      <c r="J610" s="1">
        <f>449*5.16</f>
        <v>2316.84</v>
      </c>
      <c r="K610" t="s">
        <v>96</v>
      </c>
      <c r="L610" s="2">
        <v>7.55</v>
      </c>
      <c r="M610" s="2">
        <v>7.2</v>
      </c>
      <c r="N610" s="1">
        <v>434</v>
      </c>
      <c r="P610" s="3">
        <v>17.5</v>
      </c>
      <c r="Q610" s="4">
        <v>153</v>
      </c>
      <c r="R610" s="4">
        <v>79.8</v>
      </c>
      <c r="S610" s="4">
        <v>-67.2</v>
      </c>
      <c r="T610" s="18" cm="1">
        <f t="array" ref="T610">_xlfn.IFS(L610&lt;=5,IF(ISNUMBER(X610)=TRUE,X610*1.79+AA610*1.8+Z610*5.56+50000*(10^-L610)-R610,1.79+AA610*1.8+Z610*5.56+50000*(10^-L610)-R610),L610&gt;5,IF(ISNUMBER(X610)=TRUE,X610*1.79+AA610*1.8+50000*(10^-L610)-R610,AA610*1.8+50000*(10^-L610)-R610))</f>
        <v>-79.11413080853437</v>
      </c>
      <c r="W610" s="3">
        <v>0.94399999999999995</v>
      </c>
      <c r="X610" s="3">
        <v>0.13400000000000001</v>
      </c>
      <c r="Z610" s="3">
        <v>0.5</v>
      </c>
      <c r="AA610" s="3">
        <v>0.247</v>
      </c>
      <c r="AB610" s="4">
        <v>133.6</v>
      </c>
      <c r="AC610" s="6"/>
      <c r="AD610" s="6"/>
      <c r="AE610" s="8"/>
      <c r="AF610" s="8"/>
      <c r="AG610" s="6"/>
      <c r="AK610" s="3" t="s">
        <v>363</v>
      </c>
      <c r="AL610" s="3">
        <v>276</v>
      </c>
      <c r="AN610" s="1">
        <f t="shared" si="544"/>
        <v>-1868.2997760000003</v>
      </c>
      <c r="AO610" s="1">
        <f t="shared" si="545"/>
        <v>26.245163519999998</v>
      </c>
      <c r="AP610" s="1">
        <f t="shared" si="546"/>
        <v>13.901040000000002</v>
      </c>
      <c r="AQ610" s="1">
        <f t="shared" si="547"/>
        <v>6.8671137600000005</v>
      </c>
      <c r="AR610" s="1">
        <f t="shared" si="548"/>
        <v>3714.3578880000005</v>
      </c>
      <c r="AS610" s="1">
        <f t="shared" ref="AS610" si="550">R610*J610*0.012</f>
        <v>2218.6059839999998</v>
      </c>
    </row>
    <row r="611" spans="1:48" x14ac:dyDescent="0.3">
      <c r="F611" s="11"/>
      <c r="G611" s="11"/>
      <c r="J611" s="14"/>
      <c r="AD611" s="8"/>
      <c r="AE611" s="8"/>
      <c r="AU611" s="13"/>
      <c r="AV611" s="13"/>
    </row>
    <row r="612" spans="1:48" x14ac:dyDescent="0.3">
      <c r="A612" s="5">
        <v>44964</v>
      </c>
      <c r="B612" s="12" t="s">
        <v>235</v>
      </c>
      <c r="C612" t="s">
        <v>236</v>
      </c>
      <c r="E612" t="s">
        <v>237</v>
      </c>
      <c r="F612" s="11"/>
      <c r="G612" s="11"/>
      <c r="H612" t="s">
        <v>218</v>
      </c>
      <c r="J612" s="1">
        <v>2.88</v>
      </c>
      <c r="K612" t="s">
        <v>96</v>
      </c>
      <c r="L612" s="2">
        <v>5.04</v>
      </c>
      <c r="M612" s="2">
        <v>4.7</v>
      </c>
      <c r="N612" s="1">
        <v>1869</v>
      </c>
      <c r="O612" s="1">
        <v>1960</v>
      </c>
      <c r="R612" s="4">
        <v>0</v>
      </c>
      <c r="S612" s="4">
        <v>77</v>
      </c>
      <c r="T612" s="4" cm="1">
        <f t="array" ref="T612">_xlfn.IFS(L612&lt;=5,IF(ISNUMBER(X612)=TRUE,X612*1.79+AA612*1.8+Z612*5.56+50000*(10^-L612)-Q612,1.79+AA612*1.8+Z612*5.56+50000*(10^-L612)-Q612),L612&gt;5,IF(ISNUMBER(X612)=TRUE,X612*1.79+AA612*1.8+50000*(10^-L612)-Q612,AA612*1.8+50000*(10^-L612)-Q612))</f>
        <v>13.991505419677953</v>
      </c>
      <c r="W612" s="3">
        <v>0.1</v>
      </c>
      <c r="X612" s="3">
        <v>0.05</v>
      </c>
      <c r="Z612" s="3">
        <v>11.6</v>
      </c>
      <c r="AA612" s="3">
        <v>7.47</v>
      </c>
      <c r="AB612" s="4">
        <v>1253.8599999999999</v>
      </c>
      <c r="AC612" s="3">
        <v>212</v>
      </c>
      <c r="AD612" s="8">
        <v>119</v>
      </c>
      <c r="AE612" s="8">
        <v>75.7</v>
      </c>
      <c r="AF612" s="3">
        <v>3.45</v>
      </c>
      <c r="AG612" s="3">
        <v>10</v>
      </c>
      <c r="AH612" s="2">
        <v>0.44</v>
      </c>
      <c r="AI612" s="2">
        <v>0.73199999999999998</v>
      </c>
      <c r="AJ612" s="3" t="s">
        <v>159</v>
      </c>
      <c r="AN612" s="1">
        <f>S612*J612*0.012</f>
        <v>2.6611199999999999</v>
      </c>
      <c r="AO612" s="1">
        <f>W612*J612*0.012</f>
        <v>3.4559999999999999E-3</v>
      </c>
      <c r="AP612" s="1">
        <f>Z612*J612*0.012</f>
        <v>0.40089600000000003</v>
      </c>
      <c r="AQ612" s="1">
        <f>AA612*J612*0.012</f>
        <v>0.25816319999999998</v>
      </c>
      <c r="AR612" s="1">
        <f>AB612*J612*0.012</f>
        <v>43.333401599999995</v>
      </c>
    </row>
    <row r="613" spans="1:48" x14ac:dyDescent="0.3">
      <c r="F613" s="11"/>
      <c r="G613" s="11"/>
      <c r="J613" s="14"/>
      <c r="AD613" s="8"/>
      <c r="AE613" s="8"/>
      <c r="AU613" s="13"/>
      <c r="AV613" s="13"/>
    </row>
    <row r="614" spans="1:48" x14ac:dyDescent="0.3">
      <c r="A614" s="5">
        <v>44964</v>
      </c>
      <c r="B614" s="12" t="s">
        <v>238</v>
      </c>
      <c r="C614" t="s">
        <v>239</v>
      </c>
      <c r="E614" t="s">
        <v>240</v>
      </c>
      <c r="F614" s="11"/>
      <c r="G614" s="11"/>
      <c r="H614" t="s">
        <v>218</v>
      </c>
      <c r="J614" s="1">
        <v>134</v>
      </c>
      <c r="K614" t="s">
        <v>96</v>
      </c>
      <c r="L614" s="2">
        <v>7.01</v>
      </c>
      <c r="M614" s="2">
        <v>6.8</v>
      </c>
      <c r="N614" s="1">
        <v>171</v>
      </c>
      <c r="O614" s="1">
        <v>172.1</v>
      </c>
      <c r="R614" s="4">
        <v>47.6</v>
      </c>
      <c r="S614" s="4">
        <v>-38.200000000000003</v>
      </c>
      <c r="T614" s="4" cm="1">
        <f t="array" ref="T614">_xlfn.IFS(L614&lt;=5,IF(ISNUMBER(X614)=TRUE,X614*1.79+AA614*1.8+Z614*5.56+50000*(10^-L614)-R614,1.79+AA614*1.8+Z614*5.56+50000*(10^-L614)-R614),L614&gt;5,IF(ISNUMBER(X614)=TRUE,X614*1.79+AA614*1.8+50000*(10^-L614)-R614,AA614*1.8+50000*(10^-L614)-R614))</f>
        <v>-47.487613813895223</v>
      </c>
      <c r="W614" s="3">
        <v>0.11</v>
      </c>
      <c r="X614" s="3">
        <v>0.05</v>
      </c>
      <c r="Z614" s="3">
        <v>0.3</v>
      </c>
      <c r="AA614" s="3">
        <v>0.01</v>
      </c>
      <c r="AB614" s="4">
        <v>24.72</v>
      </c>
      <c r="AC614" s="3">
        <v>19.600000000000001</v>
      </c>
      <c r="AD614" s="8">
        <v>5.79</v>
      </c>
      <c r="AE614" s="8">
        <v>5.0199999999999996</v>
      </c>
      <c r="AF614" s="3">
        <v>1.1200000000000001</v>
      </c>
      <c r="AG614" s="3">
        <v>4.9000000000000004</v>
      </c>
      <c r="AH614" s="2" t="s">
        <v>161</v>
      </c>
      <c r="AI614" s="2" t="s">
        <v>162</v>
      </c>
      <c r="AJ614" s="3" t="s">
        <v>159</v>
      </c>
      <c r="AN614" s="1">
        <f>S614*J614*0.012</f>
        <v>-61.425600000000003</v>
      </c>
      <c r="AO614" s="1">
        <f>W614*J614*0.012</f>
        <v>0.17688000000000001</v>
      </c>
      <c r="AP614" s="1">
        <f>Z614*J614*0.012</f>
        <v>0.48239999999999994</v>
      </c>
      <c r="AQ614" s="1">
        <f>AA614*J614*0.012</f>
        <v>1.6080000000000001E-2</v>
      </c>
      <c r="AR614" s="1">
        <f>AB614*J614*0.012</f>
        <v>39.749760000000002</v>
      </c>
    </row>
    <row r="615" spans="1:48" x14ac:dyDescent="0.3">
      <c r="A615" s="5">
        <v>45022</v>
      </c>
      <c r="B615" s="12" t="s">
        <v>250</v>
      </c>
      <c r="E615" t="s">
        <v>240</v>
      </c>
      <c r="F615" s="11"/>
      <c r="G615" s="11"/>
      <c r="H615" t="s">
        <v>218</v>
      </c>
      <c r="J615" s="1" t="s">
        <v>252</v>
      </c>
      <c r="K615" t="s">
        <v>106</v>
      </c>
      <c r="L615" s="2">
        <v>6.94</v>
      </c>
      <c r="N615" s="1">
        <v>152</v>
      </c>
      <c r="R615" s="4" t="s">
        <v>251</v>
      </c>
    </row>
    <row r="616" spans="1:48" x14ac:dyDescent="0.3">
      <c r="A616" s="5">
        <v>45098</v>
      </c>
      <c r="B616" s="12" t="s">
        <v>282</v>
      </c>
      <c r="C616" t="s">
        <v>281</v>
      </c>
      <c r="E616" t="s">
        <v>240</v>
      </c>
      <c r="F616" s="11"/>
      <c r="G616" s="11"/>
      <c r="H616" t="s">
        <v>276</v>
      </c>
      <c r="J616" s="1">
        <v>849</v>
      </c>
      <c r="K616" t="s">
        <v>96</v>
      </c>
      <c r="L616" s="2">
        <v>6.99</v>
      </c>
      <c r="M616" s="2">
        <v>6.5</v>
      </c>
      <c r="N616" s="1">
        <v>464.4</v>
      </c>
      <c r="O616" s="1">
        <v>454</v>
      </c>
      <c r="R616" s="40">
        <v>90.8</v>
      </c>
      <c r="S616" s="40">
        <v>-81.8</v>
      </c>
      <c r="T616" s="4" cm="1">
        <f t="array" ref="T616">_xlfn.IFS(L616&lt;=5,IF(ISNUMBER(X616)=TRUE,X616*1.79+AA616*1.8+Z616*5.56+50000*(10^-L616)-R616,1.79+AA616*1.8+Z616*5.56+50000*(10^-L616)-R616),L616&gt;5,IF(ISNUMBER(X616)=TRUE,X616*1.79+AA616*1.8+50000*(10^-L616)-R616,AA616*1.8+50000*(10^-L616)-R616))</f>
        <v>-89.202723535038587</v>
      </c>
      <c r="W616" s="8">
        <v>12.87</v>
      </c>
      <c r="X616" s="8">
        <v>8.4000000000000005E-2</v>
      </c>
      <c r="Y616" s="8"/>
      <c r="Z616" s="8">
        <v>6.8630000000000004</v>
      </c>
      <c r="AA616" s="8">
        <v>0.80100000000000005</v>
      </c>
      <c r="AB616" s="40">
        <v>134.9</v>
      </c>
      <c r="AC616" s="6">
        <v>61.3</v>
      </c>
      <c r="AD616" s="6">
        <v>19.739999999999998</v>
      </c>
      <c r="AE616" s="6">
        <v>8.8000000000000007</v>
      </c>
      <c r="AF616" s="8">
        <v>2.0099999999999998</v>
      </c>
      <c r="AG616" s="6">
        <v>8.6999999999999993</v>
      </c>
      <c r="AH616" s="6">
        <v>0.05</v>
      </c>
      <c r="AI616" s="41">
        <v>5.8999999999999997E-2</v>
      </c>
      <c r="AJ616" s="6">
        <v>0.2</v>
      </c>
      <c r="AK616" s="6"/>
      <c r="AL616" s="6"/>
      <c r="AN616" s="1">
        <f t="shared" ref="AN616" si="551">S616*J616*0.012</f>
        <v>-833.37839999999994</v>
      </c>
      <c r="AO616" s="1">
        <f t="shared" ref="AO616" si="552">W616*J616*0.012</f>
        <v>131.11956000000001</v>
      </c>
      <c r="AP616" s="1">
        <f t="shared" ref="AP616" si="553">Z616*J616*0.012</f>
        <v>69.920244000000011</v>
      </c>
      <c r="AQ616" s="1">
        <f t="shared" ref="AQ616" si="554">AA616*J616*0.012</f>
        <v>8.1605880000000006</v>
      </c>
      <c r="AR616" s="1">
        <f t="shared" ref="AR616" si="555">AB616*J616*0.012</f>
        <v>1374.3612000000001</v>
      </c>
    </row>
    <row r="617" spans="1:48" x14ac:dyDescent="0.3">
      <c r="A617" s="5">
        <v>45169</v>
      </c>
      <c r="B617" s="12" t="s">
        <v>301</v>
      </c>
      <c r="C617" t="s">
        <v>281</v>
      </c>
      <c r="E617" t="s">
        <v>240</v>
      </c>
      <c r="F617" s="11" t="s">
        <v>310</v>
      </c>
      <c r="G617" s="11"/>
      <c r="H617" t="s">
        <v>299</v>
      </c>
      <c r="J617" s="1">
        <v>2495.6999999999998</v>
      </c>
      <c r="K617" t="s">
        <v>96</v>
      </c>
      <c r="L617" s="2">
        <v>7.45</v>
      </c>
      <c r="M617" s="2">
        <v>6.6</v>
      </c>
      <c r="N617" s="1">
        <v>316</v>
      </c>
      <c r="O617" s="6">
        <v>374</v>
      </c>
      <c r="R617" s="4">
        <v>74.8</v>
      </c>
      <c r="S617" s="4">
        <v>-67.400000000000006</v>
      </c>
      <c r="T617" s="4" cm="1">
        <f t="array" ref="T617">_xlfn.IFS(L617&lt;=5,IF(ISNUMBER(X617)=TRUE,X617*1.79+AA617*1.8+Z617*5.56+50000*(10^-L617)-R617,1.79+AA617*1.8+Z617*5.56+50000*(10^-L617)-R617),L617&gt;5,IF(ISNUMBER(X617)=TRUE,X617*1.79+AA617*1.8+50000*(10^-L617)-R617,AA617*1.8+50000*(10^-L617)-R617))</f>
        <v>-74.286745933053822</v>
      </c>
      <c r="W617" s="3">
        <v>1.18</v>
      </c>
      <c r="X617" s="3">
        <v>0.152</v>
      </c>
      <c r="Z617" s="3">
        <v>0.49199999999999999</v>
      </c>
      <c r="AA617" s="3">
        <v>0.13300000000000001</v>
      </c>
      <c r="AB617" s="40">
        <v>98.91</v>
      </c>
      <c r="AC617" s="8">
        <v>46.12</v>
      </c>
      <c r="AD617" s="8">
        <v>14</v>
      </c>
      <c r="AE617" s="8">
        <v>5.28</v>
      </c>
      <c r="AF617" s="6">
        <v>1.7</v>
      </c>
      <c r="AG617" s="6">
        <v>4.8</v>
      </c>
      <c r="AH617" s="2">
        <v>0.05</v>
      </c>
      <c r="AI617" s="2">
        <v>0.03</v>
      </c>
      <c r="AJ617" s="6">
        <v>0.2</v>
      </c>
      <c r="AK617" s="6"/>
      <c r="AL617" s="6"/>
      <c r="AN617" s="1">
        <f t="shared" ref="AN617" si="556">S617*J617*0.012</f>
        <v>-2018.52216</v>
      </c>
      <c r="AO617" s="1">
        <f t="shared" ref="AO617" si="557">W617*J617*0.012</f>
        <v>35.339111999999993</v>
      </c>
      <c r="AP617" s="1">
        <f t="shared" ref="AP617" si="558">Z617*J617*0.012</f>
        <v>14.734612799999999</v>
      </c>
      <c r="AQ617" s="1">
        <f t="shared" ref="AQ617" si="559">AA617*J617*0.012</f>
        <v>3.9831371999999998</v>
      </c>
      <c r="AR617" s="1">
        <f t="shared" ref="AR617" si="560">AB617*J617*0.012</f>
        <v>2962.1962439999998</v>
      </c>
    </row>
  </sheetData>
  <sortState xmlns:xlrd2="http://schemas.microsoft.com/office/spreadsheetml/2017/richdata2" ref="A8:AX549">
    <sortCondition ref="A8:A549"/>
  </sortState>
  <phoneticPr fontId="9" type="noConversion"/>
  <pageMargins left="0.7" right="0.7" top="0.75" bottom="0.75" header="0.3" footer="0.3"/>
  <pageSetup orientation="portrait" verticalDpi="300"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BABCC-13D5-472C-9048-6E3036F44FC3}">
  <dimension ref="A1:AX102"/>
  <sheetViews>
    <sheetView zoomScale="80" zoomScaleNormal="80" workbookViewId="0">
      <pane xSplit="5" ySplit="5" topLeftCell="H78" activePane="bottomRight" state="frozen"/>
      <selection pane="topRight" activeCell="E1" sqref="E1"/>
      <selection pane="bottomLeft" activeCell="A6" sqref="A6"/>
      <selection pane="bottomRight" activeCell="E61" sqref="E61"/>
    </sheetView>
  </sheetViews>
  <sheetFormatPr defaultRowHeight="14.4" x14ac:dyDescent="0.3"/>
  <cols>
    <col min="1" max="1" width="12.33203125" customWidth="1"/>
    <col min="2" max="2" width="10.33203125" bestFit="1" customWidth="1"/>
    <col min="3" max="3" width="12.21875" customWidth="1"/>
    <col min="4" max="4" width="6.6640625" hidden="1" customWidth="1"/>
    <col min="5" max="5" width="37.5546875" customWidth="1"/>
    <col min="6" max="6" width="10" hidden="1" customWidth="1"/>
    <col min="7" max="7" width="10.6640625" hidden="1" customWidth="1"/>
    <col min="8" max="8" width="11" bestFit="1" customWidth="1"/>
    <col min="9" max="9" width="11.109375" customWidth="1"/>
    <col min="10" max="10" width="8.44140625" style="1" bestFit="1" customWidth="1"/>
    <col min="11" max="11" width="4.44140625" bestFit="1" customWidth="1"/>
    <col min="12" max="12" width="7.77734375" style="2" bestFit="1" customWidth="1"/>
    <col min="13" max="13" width="6.6640625" style="2" bestFit="1" customWidth="1"/>
    <col min="14" max="14" width="6.88671875" style="1" customWidth="1"/>
    <col min="15" max="15" width="7.44140625" style="1" customWidth="1"/>
    <col min="16" max="16" width="7" customWidth="1"/>
    <col min="17" max="17" width="14.6640625" style="4" bestFit="1" customWidth="1"/>
    <col min="18" max="18" width="11.6640625" style="4" customWidth="1"/>
    <col min="19" max="19" width="14" style="4" bestFit="1" customWidth="1"/>
    <col min="20" max="20" width="14.5546875" style="4" bestFit="1" customWidth="1"/>
    <col min="21" max="22" width="7.44140625" style="3" bestFit="1" customWidth="1"/>
    <col min="23" max="23" width="8" style="3" bestFit="1" customWidth="1"/>
    <col min="24" max="24" width="6.5546875" style="3" bestFit="1" customWidth="1"/>
    <col min="25" max="25" width="6.5546875" style="3" customWidth="1"/>
    <col min="26" max="26" width="6.5546875" style="3" bestFit="1" customWidth="1"/>
    <col min="27" max="27" width="6" style="3" bestFit="1" customWidth="1"/>
    <col min="28" max="28" width="8" style="3" bestFit="1" customWidth="1"/>
    <col min="29" max="30" width="6.5546875" style="3" bestFit="1" customWidth="1"/>
    <col min="31" max="31" width="5.5546875" style="3" bestFit="1" customWidth="1"/>
    <col min="32" max="32" width="5.21875" style="3" bestFit="1" customWidth="1"/>
    <col min="33" max="33" width="5.5546875" style="3" bestFit="1" customWidth="1"/>
    <col min="34" max="36" width="7.5546875" bestFit="1" customWidth="1"/>
    <col min="37" max="38" width="8" customWidth="1"/>
    <col min="39" max="39" width="5.109375" customWidth="1"/>
    <col min="40" max="40" width="9.109375" style="1" bestFit="1" customWidth="1"/>
    <col min="41" max="41" width="6.109375" style="1" customWidth="1"/>
    <col min="42" max="42" width="5.5546875" style="1" bestFit="1" customWidth="1"/>
    <col min="43" max="43" width="5.5546875" style="1" customWidth="1"/>
    <col min="44" max="44" width="8.109375" style="1" bestFit="1" customWidth="1"/>
  </cols>
  <sheetData>
    <row r="1" spans="1:50" x14ac:dyDescent="0.3">
      <c r="A1" s="5" t="str">
        <f>'Chemical Data'!A1</f>
        <v>Upper Two Lick Creek Watershed Assessment Growing Greener Grant to Indiana County Conservation District. Data managed by Hedin Environmental. Contact Ben Hedin (ben.hedin@hedinenv.com) with questions.</v>
      </c>
    </row>
    <row r="2" spans="1:50" x14ac:dyDescent="0.3">
      <c r="A2" s="5" t="str">
        <f>'Chemical Data'!A2</f>
        <v>n/m = not measured</v>
      </c>
    </row>
    <row r="3" spans="1:50" x14ac:dyDescent="0.3">
      <c r="A3" s="5"/>
      <c r="B3" s="12"/>
      <c r="I3" s="2"/>
      <c r="P3" s="3"/>
      <c r="U3" s="2"/>
      <c r="V3" s="2"/>
      <c r="AB3" s="4"/>
      <c r="AH3" s="2"/>
      <c r="AI3" s="2"/>
      <c r="AJ3" s="3"/>
      <c r="AK3" s="3"/>
      <c r="AL3" s="3"/>
      <c r="AM3" s="3"/>
      <c r="AS3" s="1"/>
      <c r="AT3" s="1"/>
      <c r="AU3" s="1"/>
      <c r="AV3" s="1"/>
      <c r="AW3" s="1"/>
      <c r="AX3" s="1"/>
    </row>
    <row r="4" spans="1:50" x14ac:dyDescent="0.3">
      <c r="A4" s="5" t="str">
        <f>'Chemical Data'!A4</f>
        <v>Date</v>
      </c>
      <c r="B4" t="str">
        <f>'Chemical Data'!B4</f>
        <v>Sequence #</v>
      </c>
      <c r="C4" t="str">
        <f>'Chemical Data'!C4</f>
        <v>Project ID</v>
      </c>
      <c r="E4" t="str">
        <f>'Chemical Data'!E4</f>
        <v>Description</v>
      </c>
      <c r="F4" t="str">
        <f>'Chemical Data'!F4</f>
        <v>Lat</v>
      </c>
      <c r="G4" t="str">
        <f>'Chemical Data'!G4</f>
        <v>Long</v>
      </c>
      <c r="H4" t="str">
        <f>'Chemical Data'!H4</f>
        <v>Sampler</v>
      </c>
      <c r="I4" t="str">
        <f>'Chemical Data'!I4</f>
        <v>Stream mile</v>
      </c>
      <c r="J4" s="1" t="str">
        <f>'Chemical Data'!J4</f>
        <v>Flow</v>
      </c>
      <c r="K4" t="str">
        <f>'Chemical Data'!K4</f>
        <v>E/M</v>
      </c>
      <c r="L4" s="2" t="str">
        <f>'Chemical Data'!L4</f>
        <v>pH, field</v>
      </c>
      <c r="M4" s="2" t="str">
        <f>'Chemical Data'!M4</f>
        <v>pH, lab</v>
      </c>
      <c r="N4" s="1" t="str">
        <f>'Chemical Data'!N4</f>
        <v>Conductivity, field</v>
      </c>
      <c r="O4" s="1" t="str">
        <f>'Chemical Data'!O4</f>
        <v>Conductivity, lab</v>
      </c>
      <c r="P4" t="str">
        <f>'Chemical Data'!P4</f>
        <v>Temp</v>
      </c>
      <c r="Q4" s="4" t="str">
        <f>'Chemical Data'!Q4</f>
        <v>Alkalinity, field</v>
      </c>
      <c r="R4" s="4" t="str">
        <f>'Chemical Data'!R4</f>
        <v>Alkalinity, lab</v>
      </c>
      <c r="S4" s="4" t="str">
        <f>'Chemical Data'!S4</f>
        <v>Net acidity, lab</v>
      </c>
      <c r="T4" s="4" t="str">
        <f>'Chemical Data'!T4</f>
        <v>Net acidity, calc</v>
      </c>
      <c r="U4" s="3" t="str">
        <f>'Chemical Data'!U4</f>
        <v>DO</v>
      </c>
      <c r="V4" s="3" t="str">
        <f>'Chemical Data'!V4</f>
        <v>DO</v>
      </c>
      <c r="W4" s="3" t="str">
        <f>'Chemical Data'!W4</f>
        <v>Fe, total</v>
      </c>
      <c r="X4" s="3" t="str">
        <f>'Chemical Data'!X4</f>
        <v>Fe+2</v>
      </c>
      <c r="Z4" s="3" t="str">
        <f>'Chemical Data'!Z4</f>
        <v>Al</v>
      </c>
      <c r="AA4" s="3" t="str">
        <f>'Chemical Data'!AA4</f>
        <v>Mn</v>
      </c>
      <c r="AB4" s="3" t="str">
        <f>'Chemical Data'!AB4</f>
        <v>SO4</v>
      </c>
      <c r="AC4" s="3" t="str">
        <f>'Chemical Data'!AC4</f>
        <v>Ca</v>
      </c>
      <c r="AD4" s="3" t="str">
        <f>'Chemical Data'!AD4</f>
        <v>Mg</v>
      </c>
      <c r="AE4" s="3" t="str">
        <f>'Chemical Data'!AE4</f>
        <v>Na</v>
      </c>
      <c r="AF4" s="3" t="str">
        <f>'Chemical Data'!AF4</f>
        <v>K</v>
      </c>
      <c r="AG4" s="3" t="str">
        <f>'Chemical Data'!AG4</f>
        <v>Cl</v>
      </c>
      <c r="AH4" t="str">
        <f>'Chemical Data'!AH4</f>
        <v>Ni</v>
      </c>
      <c r="AI4" t="str">
        <f>'Chemical Data'!AI4</f>
        <v>Zn</v>
      </c>
      <c r="AJ4" t="str">
        <f>'Chemical Data'!AJ4</f>
        <v>Br</v>
      </c>
      <c r="AK4" s="3" t="s">
        <v>362</v>
      </c>
      <c r="AL4" s="3" t="s">
        <v>361</v>
      </c>
      <c r="AN4" s="1" t="str">
        <f>'Chemical Data'!AN4</f>
        <v>Acidity</v>
      </c>
      <c r="AO4" s="1" t="str">
        <f>'Chemical Data'!AO4</f>
        <v>Fe</v>
      </c>
      <c r="AP4" s="1" t="str">
        <f>'Chemical Data'!AP4</f>
        <v>Al</v>
      </c>
      <c r="AQ4" s="1" t="str">
        <f>'Chemical Data'!AQ4</f>
        <v>Mn</v>
      </c>
      <c r="AR4" s="1" t="str">
        <f>'Chemical Data'!AR4</f>
        <v>SO4</v>
      </c>
      <c r="AS4" t="s">
        <v>308</v>
      </c>
    </row>
    <row r="5" spans="1:50" x14ac:dyDescent="0.3">
      <c r="A5" s="5"/>
      <c r="I5" t="s">
        <v>165</v>
      </c>
      <c r="J5" s="1" t="str">
        <f>'Chemical Data'!J5</f>
        <v>gpm</v>
      </c>
      <c r="N5" s="1" t="str">
        <f>'Chemical Data'!N5</f>
        <v>uS/cm</v>
      </c>
      <c r="O5" s="1" t="str">
        <f>'Chemical Data'!O5</f>
        <v>uS/cm</v>
      </c>
      <c r="P5" t="str">
        <f>'Chemical Data'!P5</f>
        <v>C</v>
      </c>
      <c r="Q5" s="4" t="str">
        <f>'Chemical Data'!Q5</f>
        <v>mg/L CaCO3</v>
      </c>
      <c r="R5" s="4" t="str">
        <f>'Chemical Data'!R5</f>
        <v>mg/L CaCO3</v>
      </c>
      <c r="S5" s="4" t="str">
        <f>'Chemical Data'!S5</f>
        <v>mg/L CaCO3</v>
      </c>
      <c r="T5" s="4" t="str">
        <f>'Chemical Data'!T5</f>
        <v>mg/L CaCO3</v>
      </c>
      <c r="U5" s="3" t="str">
        <f>'Chemical Data'!U5</f>
        <v>mg/L</v>
      </c>
      <c r="V5" s="3" t="str">
        <f>'Chemical Data'!V5</f>
        <v>%</v>
      </c>
      <c r="W5" s="3" t="str">
        <f>'Chemical Data'!W5</f>
        <v>mg/L</v>
      </c>
      <c r="X5" s="3" t="str">
        <f>'Chemical Data'!X5</f>
        <v>mg/L</v>
      </c>
      <c r="Z5" s="3" t="str">
        <f>'Chemical Data'!Z5</f>
        <v>mg/L</v>
      </c>
      <c r="AA5" s="3" t="str">
        <f>'Chemical Data'!AA5</f>
        <v>mg/L</v>
      </c>
      <c r="AB5" s="3" t="str">
        <f>'Chemical Data'!AB5</f>
        <v>mg/L</v>
      </c>
      <c r="AC5" s="3" t="str">
        <f>'Chemical Data'!AC5</f>
        <v>mg/L</v>
      </c>
      <c r="AD5" s="3" t="str">
        <f>'Chemical Data'!AD5</f>
        <v>mg/L</v>
      </c>
      <c r="AE5" s="3" t="str">
        <f>'Chemical Data'!AE5</f>
        <v>mg/L</v>
      </c>
      <c r="AF5" s="3" t="str">
        <f>'Chemical Data'!AF5</f>
        <v>mg/L</v>
      </c>
      <c r="AG5" s="3" t="str">
        <f>'Chemical Data'!AG5</f>
        <v>mg/L</v>
      </c>
      <c r="AH5" t="str">
        <f>'Chemical Data'!AH5</f>
        <v>mg/L</v>
      </c>
      <c r="AI5" t="str">
        <f>'Chemical Data'!AI5</f>
        <v>mg/L</v>
      </c>
      <c r="AJ5" t="str">
        <f>'Chemical Data'!AJ5</f>
        <v>mg/L</v>
      </c>
      <c r="AK5" s="3" t="s">
        <v>12</v>
      </c>
      <c r="AL5" s="3" t="s">
        <v>12</v>
      </c>
      <c r="AN5" s="1" t="str">
        <f>'Chemical Data'!AN5</f>
        <v>ppd</v>
      </c>
      <c r="AO5" s="1" t="str">
        <f>'Chemical Data'!AO5</f>
        <v>ppd</v>
      </c>
      <c r="AP5" s="1" t="str">
        <f>'Chemical Data'!AP5</f>
        <v>ppd</v>
      </c>
      <c r="AQ5" s="1" t="str">
        <f>'Chemical Data'!AQ5</f>
        <v>ppd</v>
      </c>
      <c r="AR5" s="1" t="str">
        <f>'Chemical Data'!AR5</f>
        <v>ppd</v>
      </c>
      <c r="AS5" t="s">
        <v>140</v>
      </c>
    </row>
    <row r="7" spans="1:50" x14ac:dyDescent="0.3">
      <c r="A7" s="5">
        <f>'Chemical Data'!A539</f>
        <v>44845</v>
      </c>
      <c r="B7" t="str">
        <f>'Chemical Data'!B539</f>
        <v>009</v>
      </c>
      <c r="C7" t="str">
        <f>'Chemical Data'!C539</f>
        <v>T15</v>
      </c>
      <c r="E7" t="str">
        <f>'Chemical Data'!E539</f>
        <v>Dixon run @ Dixonville</v>
      </c>
      <c r="F7">
        <f>'Chemical Data'!F539</f>
        <v>40.717700000000001</v>
      </c>
      <c r="G7">
        <f>'Chemical Data'!G539</f>
        <v>-79.006320000000002</v>
      </c>
      <c r="H7" t="str">
        <f>'Chemical Data'!H539</f>
        <v>Tasker</v>
      </c>
      <c r="I7">
        <v>3.68</v>
      </c>
      <c r="J7" s="1">
        <f>'Chemical Data'!J539</f>
        <v>915</v>
      </c>
      <c r="K7" t="str">
        <f>'Chemical Data'!K539</f>
        <v>M</v>
      </c>
      <c r="L7" s="2">
        <f>'Chemical Data'!L539</f>
        <v>7.83</v>
      </c>
      <c r="M7" s="2">
        <f>'Chemical Data'!M539</f>
        <v>7.8</v>
      </c>
      <c r="N7" s="1">
        <f>'Chemical Data'!N539</f>
        <v>464</v>
      </c>
      <c r="O7" s="1">
        <f>'Chemical Data'!O539</f>
        <v>470</v>
      </c>
      <c r="P7">
        <f>'Chemical Data'!P539</f>
        <v>7.6</v>
      </c>
      <c r="Q7" s="4">
        <f>'Chemical Data'!Q539</f>
        <v>94</v>
      </c>
      <c r="R7" s="4">
        <f>'Chemical Data'!R539</f>
        <v>94.2</v>
      </c>
      <c r="S7" s="4">
        <f>'Chemical Data'!S539</f>
        <v>-84.2</v>
      </c>
      <c r="T7" s="4">
        <f>'Chemical Data'!T539</f>
        <v>-93.956060445805917</v>
      </c>
      <c r="U7" s="3">
        <f>'Chemical Data'!U539</f>
        <v>9.48</v>
      </c>
      <c r="V7" s="3">
        <f>'Chemical Data'!V539</f>
        <v>79.7</v>
      </c>
      <c r="W7" s="3">
        <f>'Chemical Data'!W539</f>
        <v>0.1</v>
      </c>
      <c r="X7" s="3" t="str">
        <f>'Chemical Data'!X539</f>
        <v>&lt;0.05</v>
      </c>
      <c r="Z7" s="3">
        <f>'Chemical Data'!Z539</f>
        <v>0.3</v>
      </c>
      <c r="AA7" s="3">
        <f>'Chemical Data'!AA539</f>
        <v>2.4E-2</v>
      </c>
      <c r="AB7" s="3">
        <f>'Chemical Data'!AB539</f>
        <v>144.76</v>
      </c>
      <c r="AC7" s="3">
        <f>'Chemical Data'!AC539</f>
        <v>59.55</v>
      </c>
      <c r="AD7" s="3">
        <f>'Chemical Data'!AD539</f>
        <v>18.64</v>
      </c>
      <c r="AE7" s="3">
        <f>'Chemical Data'!AE539</f>
        <v>4.91</v>
      </c>
      <c r="AF7" s="3">
        <f>'Chemical Data'!AF539</f>
        <v>1.83</v>
      </c>
      <c r="AG7" s="3">
        <f>'Chemical Data'!AG539</f>
        <v>5.7</v>
      </c>
      <c r="AH7" t="str">
        <f>'Chemical Data'!AH539</f>
        <v>&lt;0.05</v>
      </c>
      <c r="AI7" t="str">
        <f>'Chemical Data'!AI539</f>
        <v>&lt;0.03</v>
      </c>
      <c r="AJ7" t="str">
        <f>'Chemical Data'!AJ539</f>
        <v>&lt;0.2</v>
      </c>
      <c r="AN7" s="1">
        <f>'Chemical Data'!AN539</f>
        <v>-924.51599999999996</v>
      </c>
      <c r="AO7" s="1">
        <f>'Chemical Data'!AO539</f>
        <v>1.0980000000000001</v>
      </c>
      <c r="AP7" s="1">
        <f>'Chemical Data'!AP539</f>
        <v>3.294</v>
      </c>
      <c r="AQ7" s="1">
        <f>'Chemical Data'!AQ539</f>
        <v>0.26352000000000003</v>
      </c>
      <c r="AR7" s="1">
        <f>'Chemical Data'!AR539</f>
        <v>1589.4648</v>
      </c>
    </row>
    <row r="8" spans="1:50" x14ac:dyDescent="0.3">
      <c r="A8" s="5">
        <f>'Chemical Data'!A540</f>
        <v>44903</v>
      </c>
      <c r="B8" t="str">
        <f>'Chemical Data'!B540</f>
        <v>009</v>
      </c>
      <c r="C8" t="str">
        <f>'Chemical Data'!C540</f>
        <v>T15</v>
      </c>
      <c r="E8" t="str">
        <f>'Chemical Data'!E540</f>
        <v>Dixon run @ Dixonville</v>
      </c>
      <c r="F8">
        <f>'Chemical Data'!F540</f>
        <v>40.717700000000001</v>
      </c>
      <c r="G8">
        <f>'Chemical Data'!G540</f>
        <v>-79.006320000000002</v>
      </c>
      <c r="H8" t="str">
        <f>'Chemical Data'!H540</f>
        <v>Tasker</v>
      </c>
      <c r="I8">
        <v>3.68</v>
      </c>
      <c r="J8" s="1">
        <f>'Chemical Data'!J540</f>
        <v>3402</v>
      </c>
      <c r="K8" t="str">
        <f>'Chemical Data'!K540</f>
        <v>M</v>
      </c>
      <c r="L8" s="2">
        <f>'Chemical Data'!L540</f>
        <v>7.85</v>
      </c>
      <c r="M8" s="2">
        <f>'Chemical Data'!M540</f>
        <v>7.5</v>
      </c>
      <c r="N8" s="1">
        <f>'Chemical Data'!N540</f>
        <v>313</v>
      </c>
      <c r="O8" s="1">
        <f>'Chemical Data'!O540</f>
        <v>323</v>
      </c>
      <c r="P8">
        <f>'Chemical Data'!P540</f>
        <v>7.9</v>
      </c>
      <c r="Q8" s="4">
        <f>'Chemical Data'!Q540</f>
        <v>67.5</v>
      </c>
      <c r="R8" s="4">
        <f>'Chemical Data'!R540</f>
        <v>72</v>
      </c>
      <c r="S8" s="4">
        <f>'Chemical Data'!S540</f>
        <v>-62</v>
      </c>
      <c r="T8" s="4">
        <f>'Chemical Data'!T540</f>
        <v>-67.416493731227689</v>
      </c>
      <c r="U8" s="3">
        <f>'Chemical Data'!U540</f>
        <v>11.18</v>
      </c>
      <c r="V8" s="3">
        <f>'Chemical Data'!V540</f>
        <v>94.2</v>
      </c>
      <c r="W8" s="3">
        <f>'Chemical Data'!W540</f>
        <v>0.1</v>
      </c>
      <c r="X8" s="3" t="str">
        <f>'Chemical Data'!X540</f>
        <v>&lt;0.05</v>
      </c>
      <c r="Z8" s="3">
        <f>'Chemical Data'!Z540</f>
        <v>0.3</v>
      </c>
      <c r="AA8" s="3">
        <f>'Chemical Data'!AA540</f>
        <v>4.5999999999999999E-2</v>
      </c>
      <c r="AC8" s="3">
        <f>'Chemical Data'!AC540</f>
        <v>40.450000000000003</v>
      </c>
      <c r="AD8" s="3">
        <f>'Chemical Data'!AD540</f>
        <v>12.49</v>
      </c>
      <c r="AE8" s="3">
        <f>'Chemical Data'!AE540</f>
        <v>4.5199999999999996</v>
      </c>
      <c r="AF8" s="3">
        <f>'Chemical Data'!AF540</f>
        <v>1.57</v>
      </c>
      <c r="AG8" s="3">
        <f>'Chemical Data'!AG540</f>
        <v>5.4</v>
      </c>
      <c r="AH8" t="str">
        <f>'Chemical Data'!AH540</f>
        <v>&lt;0.05</v>
      </c>
      <c r="AI8" t="str">
        <f>'Chemical Data'!AI540</f>
        <v>&lt;0.03</v>
      </c>
      <c r="AJ8" t="str">
        <f>'Chemical Data'!AJ540</f>
        <v>&lt;0.2</v>
      </c>
      <c r="AN8" s="1">
        <f>'Chemical Data'!AN540</f>
        <v>-2531.0880000000002</v>
      </c>
      <c r="AO8" s="1">
        <f>'Chemical Data'!AO540</f>
        <v>4.0824000000000007</v>
      </c>
      <c r="AP8" s="1">
        <f>'Chemical Data'!AP540</f>
        <v>12.247199999999999</v>
      </c>
      <c r="AQ8" s="1">
        <f>'Chemical Data'!AQ540</f>
        <v>1.877904</v>
      </c>
    </row>
    <row r="9" spans="1:50" x14ac:dyDescent="0.3">
      <c r="A9" s="5">
        <f>'Chemical Data'!A541</f>
        <v>44964</v>
      </c>
      <c r="B9" t="str">
        <f>'Chemical Data'!B541</f>
        <v>009</v>
      </c>
      <c r="C9" t="str">
        <f>'Chemical Data'!C541</f>
        <v>T15</v>
      </c>
      <c r="D9">
        <f>'Chemical Data'!D541</f>
        <v>0</v>
      </c>
      <c r="E9" t="str">
        <f>'Chemical Data'!E541</f>
        <v>Dixon run @ Dixonville</v>
      </c>
      <c r="F9">
        <f>'Chemical Data'!F541</f>
        <v>40.717700000000001</v>
      </c>
      <c r="G9">
        <f>'Chemical Data'!G541</f>
        <v>-79.006320000000002</v>
      </c>
      <c r="H9" t="str">
        <f>'Chemical Data'!H541</f>
        <v>Hedin/ICCD</v>
      </c>
      <c r="J9" s="1">
        <f>'Chemical Data'!J541</f>
        <v>3627.92</v>
      </c>
      <c r="K9" t="str">
        <f>'Chemical Data'!K541</f>
        <v>M</v>
      </c>
      <c r="L9" s="2">
        <f>'Chemical Data'!L541</f>
        <v>0</v>
      </c>
      <c r="M9" s="2">
        <f>'Chemical Data'!M541</f>
        <v>7.5</v>
      </c>
      <c r="N9" s="1">
        <f>'Chemical Data'!N541</f>
        <v>0</v>
      </c>
      <c r="O9" s="1">
        <f>'Chemical Data'!O541</f>
        <v>371</v>
      </c>
      <c r="P9">
        <f>'Chemical Data'!P541</f>
        <v>0</v>
      </c>
      <c r="Q9" s="4">
        <f>R9</f>
        <v>72</v>
      </c>
      <c r="R9" s="4">
        <f>'Chemical Data'!R541</f>
        <v>72</v>
      </c>
      <c r="S9" s="4">
        <f>'Chemical Data'!S541</f>
        <v>-53.6</v>
      </c>
      <c r="T9" s="4">
        <f>'Chemical Data'!T541</f>
        <v>-71.833318861169914</v>
      </c>
      <c r="U9" s="3">
        <f>'Chemical Data'!U541</f>
        <v>0</v>
      </c>
      <c r="V9" s="3">
        <f>'Chemical Data'!V541</f>
        <v>0</v>
      </c>
      <c r="W9" s="3">
        <f>'Chemical Data'!W541</f>
        <v>0.1</v>
      </c>
      <c r="X9" s="3">
        <f>'Chemical Data'!X541</f>
        <v>0.05</v>
      </c>
      <c r="Z9" s="3">
        <f>'Chemical Data'!Z541</f>
        <v>0.3</v>
      </c>
      <c r="AA9" s="3">
        <f>'Chemical Data'!AA541</f>
        <v>4.2000000000000003E-2</v>
      </c>
      <c r="AB9" s="3">
        <f>'Chemical Data'!AB541</f>
        <v>104.25</v>
      </c>
      <c r="AC9" s="3">
        <f>'Chemical Data'!AC541</f>
        <v>46.27</v>
      </c>
      <c r="AD9" s="3">
        <f>'Chemical Data'!AD541</f>
        <v>14.67</v>
      </c>
      <c r="AE9" s="3">
        <f>'Chemical Data'!AE541</f>
        <v>4.08</v>
      </c>
      <c r="AF9" s="3">
        <f>'Chemical Data'!AF541</f>
        <v>1.51</v>
      </c>
      <c r="AG9" s="3">
        <f>'Chemical Data'!AG541</f>
        <v>5.0999999999999996</v>
      </c>
      <c r="AH9" t="str">
        <f>'Chemical Data'!AH541</f>
        <v>&lt;0.05</v>
      </c>
      <c r="AI9" t="str">
        <f>'Chemical Data'!AI541</f>
        <v>&lt;0.03</v>
      </c>
      <c r="AJ9" t="str">
        <f>'Chemical Data'!AJ541</f>
        <v>&lt;0.2</v>
      </c>
      <c r="AN9" s="1">
        <f>'Chemical Data'!AN541</f>
        <v>-2333.4781440000002</v>
      </c>
      <c r="AO9" s="1">
        <f>'Chemical Data'!AO541</f>
        <v>4.353504</v>
      </c>
      <c r="AP9" s="1">
        <f>'Chemical Data'!AP541</f>
        <v>13.060511999999999</v>
      </c>
      <c r="AQ9" s="1">
        <f>'Chemical Data'!AQ541</f>
        <v>1.8284716800000003</v>
      </c>
      <c r="AR9" s="1">
        <f>'Chemical Data'!AR541</f>
        <v>4538.5279200000004</v>
      </c>
    </row>
    <row r="10" spans="1:50" x14ac:dyDescent="0.3">
      <c r="A10" s="5">
        <f>'Chemical Data'!A542</f>
        <v>45022</v>
      </c>
      <c r="B10" t="str">
        <f>'Chemical Data'!B542</f>
        <v>019</v>
      </c>
      <c r="C10" t="str">
        <f>'Chemical Data'!C542</f>
        <v>T15</v>
      </c>
      <c r="D10">
        <f>'Chemical Data'!D542</f>
        <v>0</v>
      </c>
      <c r="E10" t="str">
        <f>'Chemical Data'!E542</f>
        <v>Dixon run @ Dixonville</v>
      </c>
      <c r="F10">
        <f>'Chemical Data'!F542</f>
        <v>40.717700000000001</v>
      </c>
      <c r="G10">
        <f>'Chemical Data'!G542</f>
        <v>-79.006320000000002</v>
      </c>
      <c r="H10" t="str">
        <f>'Chemical Data'!H542</f>
        <v>Hedin/ICCD</v>
      </c>
      <c r="J10" s="1">
        <f>'Chemical Data'!J542</f>
        <v>5289</v>
      </c>
      <c r="K10" t="str">
        <f>'Chemical Data'!K542</f>
        <v>M</v>
      </c>
      <c r="L10" s="2">
        <f>'Chemical Data'!L542</f>
        <v>7.8</v>
      </c>
      <c r="M10" s="2">
        <f>'Chemical Data'!M542</f>
        <v>6.5</v>
      </c>
      <c r="N10">
        <f>'Chemical Data'!N542</f>
        <v>289</v>
      </c>
      <c r="O10">
        <f>'Chemical Data'!O542</f>
        <v>315</v>
      </c>
      <c r="P10">
        <f>'Chemical Data'!P542</f>
        <v>0</v>
      </c>
      <c r="Q10" s="4">
        <f>R10</f>
        <v>65.2</v>
      </c>
      <c r="R10" s="4">
        <f>'Chemical Data'!R542</f>
        <v>65.2</v>
      </c>
      <c r="S10" s="4">
        <f>'Chemical Data'!S542</f>
        <v>-56.6</v>
      </c>
      <c r="T10" s="4">
        <f>'Chemical Data'!T542</f>
        <v>-65.035907553403774</v>
      </c>
      <c r="U10" s="3">
        <f>'Chemical Data'!U542</f>
        <v>0</v>
      </c>
      <c r="V10" s="3">
        <f>'Chemical Data'!V542</f>
        <v>0</v>
      </c>
      <c r="W10" s="3">
        <f>'Chemical Data'!W542</f>
        <v>0.152</v>
      </c>
      <c r="X10" s="3">
        <f>'Chemical Data'!X542</f>
        <v>0.05</v>
      </c>
      <c r="Z10" s="3">
        <f>'Chemical Data'!Z542</f>
        <v>0.3</v>
      </c>
      <c r="AA10" s="3">
        <f>'Chemical Data'!AA542</f>
        <v>4.1000000000000002E-2</v>
      </c>
      <c r="AB10" s="3">
        <f>'Chemical Data'!AB542</f>
        <v>90.97</v>
      </c>
      <c r="AC10" s="3">
        <f>'Chemical Data'!AC542</f>
        <v>43</v>
      </c>
      <c r="AD10" s="3">
        <f>'Chemical Data'!AD542</f>
        <v>13.1</v>
      </c>
      <c r="AE10" s="3">
        <f>'Chemical Data'!AE542</f>
        <v>3.96</v>
      </c>
      <c r="AF10" s="3">
        <f>'Chemical Data'!AF542</f>
        <v>1.55</v>
      </c>
      <c r="AG10" s="3">
        <f>'Chemical Data'!AG542</f>
        <v>4.5999999999999996</v>
      </c>
      <c r="AH10" t="str">
        <f>'Chemical Data'!AH542</f>
        <v>&lt;0.05</v>
      </c>
      <c r="AI10" t="str">
        <f>'Chemical Data'!AI542</f>
        <v>&lt;0.03</v>
      </c>
      <c r="AJ10" t="str">
        <f>'Chemical Data'!AJ542</f>
        <v>&lt;0.2</v>
      </c>
      <c r="AN10" s="1">
        <f>'Chemical Data'!AN542</f>
        <v>-3592.2888000000003</v>
      </c>
      <c r="AO10" s="1">
        <f>'Chemical Data'!AO542</f>
        <v>9.6471359999999997</v>
      </c>
      <c r="AP10" s="1">
        <f>'Chemical Data'!AP542</f>
        <v>19.040400000000002</v>
      </c>
      <c r="AQ10" s="1">
        <f>'Chemical Data'!AQ542</f>
        <v>2.6021880000000004</v>
      </c>
      <c r="AR10" s="1">
        <f>'Chemical Data'!AR542</f>
        <v>5773.6839600000003</v>
      </c>
    </row>
    <row r="11" spans="1:50" x14ac:dyDescent="0.3">
      <c r="A11" s="5">
        <f>'Chemical Data'!A543</f>
        <v>45098</v>
      </c>
      <c r="B11" t="str">
        <f>'Chemical Data'!B543</f>
        <v>047</v>
      </c>
      <c r="C11" t="str">
        <f>'Chemical Data'!C543</f>
        <v>T15</v>
      </c>
      <c r="E11" t="str">
        <f>'Chemical Data'!E543</f>
        <v>Dixon run @ Dixonville</v>
      </c>
      <c r="F11">
        <f>'Chemical Data'!F543</f>
        <v>40.717700000000001</v>
      </c>
      <c r="G11">
        <f>'Chemical Data'!G543</f>
        <v>-79.006320000000002</v>
      </c>
      <c r="H11" t="str">
        <f>'Chemical Data'!H543</f>
        <v>SFU/ICCD</v>
      </c>
      <c r="J11" s="1">
        <f>'Chemical Data'!J543</f>
        <v>588</v>
      </c>
      <c r="K11" t="str">
        <f>'Chemical Data'!K543</f>
        <v>M</v>
      </c>
      <c r="L11" s="2">
        <f>'Chemical Data'!L543</f>
        <v>7.98</v>
      </c>
      <c r="M11" s="2">
        <f>'Chemical Data'!M543</f>
        <v>6.8</v>
      </c>
      <c r="N11">
        <f>'Chemical Data'!N543</f>
        <v>449.4</v>
      </c>
      <c r="O11">
        <f>'Chemical Data'!O543</f>
        <v>441</v>
      </c>
      <c r="P11">
        <f>'Chemical Data'!P543</f>
        <v>0</v>
      </c>
      <c r="Q11" s="4">
        <f>R11</f>
        <v>91.8</v>
      </c>
      <c r="R11" s="4">
        <f>'Chemical Data'!R543</f>
        <v>91.8</v>
      </c>
      <c r="S11" s="4">
        <f>'Chemical Data'!S543</f>
        <v>-84.6</v>
      </c>
      <c r="T11" s="4">
        <f>'Chemical Data'!T543</f>
        <v>-91.643376435725969</v>
      </c>
      <c r="U11" s="3">
        <f>'Chemical Data'!U543</f>
        <v>0</v>
      </c>
      <c r="V11" s="3">
        <f>'Chemical Data'!V543</f>
        <v>0</v>
      </c>
      <c r="W11" s="3">
        <f>'Chemical Data'!W543</f>
        <v>0.1</v>
      </c>
      <c r="X11" s="3">
        <f>'Chemical Data'!X543</f>
        <v>0.05</v>
      </c>
      <c r="Z11" s="3">
        <f>'Chemical Data'!Z543</f>
        <v>0.3</v>
      </c>
      <c r="AA11" s="3">
        <f>'Chemical Data'!AA543</f>
        <v>3.6999999999999998E-2</v>
      </c>
      <c r="AB11" s="3">
        <f>'Chemical Data'!AB543</f>
        <v>128.02000000000001</v>
      </c>
      <c r="AC11" s="3">
        <f>'Chemical Data'!AC543</f>
        <v>58.75</v>
      </c>
      <c r="AD11" s="3">
        <f>'Chemical Data'!AD543</f>
        <v>17.420000000000002</v>
      </c>
      <c r="AE11" s="3">
        <f>'Chemical Data'!AE543</f>
        <v>5.31</v>
      </c>
      <c r="AF11" s="3">
        <f>'Chemical Data'!AF543</f>
        <v>1.94</v>
      </c>
      <c r="AG11" s="3">
        <f>'Chemical Data'!AG543</f>
        <v>6.3</v>
      </c>
      <c r="AH11">
        <f>'Chemical Data'!AH543</f>
        <v>0.05</v>
      </c>
      <c r="AI11">
        <f>'Chemical Data'!AI543</f>
        <v>0.03</v>
      </c>
      <c r="AJ11">
        <f>'Chemical Data'!AJ543</f>
        <v>0.2</v>
      </c>
      <c r="AN11" s="1">
        <f>'Chemical Data'!AN543</f>
        <v>-596.93759999999997</v>
      </c>
      <c r="AO11" s="1">
        <f>'Chemical Data'!AO543</f>
        <v>0.70560000000000012</v>
      </c>
      <c r="AP11" s="1">
        <f>'Chemical Data'!AP543</f>
        <v>2.1168</v>
      </c>
      <c r="AQ11" s="1">
        <f>'Chemical Data'!AQ543</f>
        <v>0.26107200000000003</v>
      </c>
      <c r="AR11" s="1">
        <f>'Chemical Data'!AR543</f>
        <v>903.30912000000012</v>
      </c>
    </row>
    <row r="12" spans="1:50" x14ac:dyDescent="0.3">
      <c r="A12" s="5">
        <v>45169</v>
      </c>
      <c r="B12" t="str">
        <f>'Chemical Data'!B544</f>
        <v>033</v>
      </c>
      <c r="C12" t="str">
        <f>'Chemical Data'!C544</f>
        <v>T15</v>
      </c>
      <c r="E12" t="str">
        <f>'Chemical Data'!E544</f>
        <v>Dixon run @ Dixonville</v>
      </c>
      <c r="F12">
        <f>'Chemical Data'!F544</f>
        <v>40.717700000000001</v>
      </c>
      <c r="G12">
        <f>'Chemical Data'!G544</f>
        <v>-79.006320000000002</v>
      </c>
      <c r="H12" t="str">
        <f>'Chemical Data'!H544</f>
        <v>ICCD</v>
      </c>
      <c r="J12" s="1">
        <f>'Chemical Data'!J544</f>
        <v>2877.2</v>
      </c>
      <c r="K12" t="str">
        <f>'Chemical Data'!K544</f>
        <v>M</v>
      </c>
      <c r="L12" s="2">
        <f>'Chemical Data'!L544</f>
        <v>7.74</v>
      </c>
      <c r="M12" s="2">
        <f>'Chemical Data'!M544</f>
        <v>6.9</v>
      </c>
      <c r="N12">
        <f>'Chemical Data'!N544</f>
        <v>313</v>
      </c>
      <c r="O12">
        <f>'Chemical Data'!O544</f>
        <v>362</v>
      </c>
      <c r="P12">
        <f>'Chemical Data'!P544</f>
        <v>0</v>
      </c>
      <c r="Q12" s="4">
        <f>R12</f>
        <v>79.2</v>
      </c>
      <c r="R12" s="4">
        <f>'Chemical Data'!R544</f>
        <v>79.2</v>
      </c>
      <c r="S12" s="4">
        <f>'Chemical Data'!S544</f>
        <v>-72.599999999999994</v>
      </c>
      <c r="T12" s="4">
        <f>'Chemical Data'!T544</f>
        <v>-78.890630149570697</v>
      </c>
      <c r="U12" s="3">
        <f>'Chemical Data'!U544</f>
        <v>0</v>
      </c>
      <c r="V12" s="3">
        <f>'Chemical Data'!V544</f>
        <v>0</v>
      </c>
      <c r="W12" s="3">
        <f>'Chemical Data'!W544</f>
        <v>0.25600000000000001</v>
      </c>
      <c r="X12" s="3">
        <f>'Chemical Data'!X544</f>
        <v>0.114</v>
      </c>
      <c r="Z12" s="3">
        <f>'Chemical Data'!Z544</f>
        <v>0.3</v>
      </c>
      <c r="AA12" s="3">
        <f>'Chemical Data'!AA544</f>
        <v>5.8000000000000003E-2</v>
      </c>
      <c r="AB12" s="3">
        <f>'Chemical Data'!AB544</f>
        <v>94.64</v>
      </c>
      <c r="AC12" s="3">
        <f>'Chemical Data'!AC544</f>
        <v>48.7</v>
      </c>
      <c r="AD12" s="3">
        <f>'Chemical Data'!AD544</f>
        <v>14.6</v>
      </c>
      <c r="AE12" s="3">
        <f>'Chemical Data'!AE544</f>
        <v>4.2300000000000004</v>
      </c>
      <c r="AF12" s="3">
        <f>'Chemical Data'!AF544</f>
        <v>1.74</v>
      </c>
      <c r="AG12" s="3">
        <f>'Chemical Data'!AG544</f>
        <v>4.2</v>
      </c>
      <c r="AH12">
        <f>'Chemical Data'!AH544</f>
        <v>0.05</v>
      </c>
      <c r="AI12">
        <f>'Chemical Data'!AI544</f>
        <v>0.03</v>
      </c>
      <c r="AJ12">
        <f>'Chemical Data'!AJ544</f>
        <v>0.2</v>
      </c>
      <c r="AN12" s="1">
        <f>'Chemical Data'!AN544</f>
        <v>-2506.6166399999997</v>
      </c>
      <c r="AO12" s="1">
        <f>'Chemical Data'!AO544</f>
        <v>8.8387583999999997</v>
      </c>
      <c r="AP12" s="1">
        <f>'Chemical Data'!AP544</f>
        <v>10.35792</v>
      </c>
      <c r="AQ12" s="1">
        <f>'Chemical Data'!AQ544</f>
        <v>2.0025312</v>
      </c>
      <c r="AR12" s="1">
        <f>'Chemical Data'!AR544</f>
        <v>3267.5784960000001</v>
      </c>
    </row>
    <row r="13" spans="1:50" s="7" customFormat="1" x14ac:dyDescent="0.3">
      <c r="A13" s="45" t="s">
        <v>144</v>
      </c>
      <c r="J13" s="20">
        <f>AVERAGE(J7:J12)</f>
        <v>2783.1866666666665</v>
      </c>
      <c r="L13" s="50">
        <f t="shared" ref="L13:AR13" si="0">AVERAGE(L7:L12)</f>
        <v>6.5333333333333341</v>
      </c>
      <c r="M13" s="50">
        <f t="shared" si="0"/>
        <v>7.166666666666667</v>
      </c>
      <c r="N13" s="50">
        <f t="shared" si="0"/>
        <v>304.73333333333335</v>
      </c>
      <c r="O13" s="50">
        <f t="shared" si="0"/>
        <v>380.33333333333331</v>
      </c>
      <c r="P13" s="50">
        <f t="shared" si="0"/>
        <v>2.5833333333333335</v>
      </c>
      <c r="Q13" s="50">
        <f t="shared" si="0"/>
        <v>78.283333333333331</v>
      </c>
      <c r="R13" s="50">
        <f t="shared" si="0"/>
        <v>79.066666666666663</v>
      </c>
      <c r="S13" s="50">
        <f t="shared" si="0"/>
        <v>-68.933333333333337</v>
      </c>
      <c r="T13" s="50">
        <f t="shared" si="0"/>
        <v>-78.129297862817324</v>
      </c>
      <c r="U13" s="50">
        <f t="shared" si="0"/>
        <v>3.4433333333333334</v>
      </c>
      <c r="V13" s="50">
        <f t="shared" si="0"/>
        <v>28.983333333333334</v>
      </c>
      <c r="W13" s="50">
        <f t="shared" si="0"/>
        <v>0.13466666666666668</v>
      </c>
      <c r="X13" s="50">
        <f t="shared" si="0"/>
        <v>6.6000000000000003E-2</v>
      </c>
      <c r="Y13" s="50"/>
      <c r="Z13" s="50">
        <f t="shared" si="0"/>
        <v>0.3</v>
      </c>
      <c r="AA13" s="50">
        <f t="shared" si="0"/>
        <v>4.133333333333334E-2</v>
      </c>
      <c r="AB13" s="50">
        <f t="shared" si="0"/>
        <v>112.52799999999999</v>
      </c>
      <c r="AC13" s="50">
        <f t="shared" si="0"/>
        <v>49.45333333333334</v>
      </c>
      <c r="AD13" s="50">
        <f t="shared" si="0"/>
        <v>15.153333333333334</v>
      </c>
      <c r="AE13" s="50">
        <f t="shared" si="0"/>
        <v>4.501666666666666</v>
      </c>
      <c r="AF13" s="50">
        <f t="shared" si="0"/>
        <v>1.6900000000000002</v>
      </c>
      <c r="AG13" s="50">
        <f t="shared" si="0"/>
        <v>5.2166666666666677</v>
      </c>
      <c r="AH13" s="50">
        <f t="shared" si="0"/>
        <v>0.05</v>
      </c>
      <c r="AI13" s="50">
        <f t="shared" si="0"/>
        <v>0.03</v>
      </c>
      <c r="AJ13" s="50">
        <f t="shared" si="0"/>
        <v>0.2</v>
      </c>
      <c r="AK13" s="50"/>
      <c r="AL13" s="50"/>
      <c r="AM13" s="50"/>
      <c r="AN13" s="50">
        <f t="shared" si="0"/>
        <v>-2080.8208639999998</v>
      </c>
      <c r="AO13" s="50">
        <f t="shared" si="0"/>
        <v>4.7875664000000002</v>
      </c>
      <c r="AP13" s="50">
        <f t="shared" si="0"/>
        <v>10.019471999999999</v>
      </c>
      <c r="AQ13" s="50">
        <f t="shared" si="0"/>
        <v>1.4726144800000001</v>
      </c>
      <c r="AR13" s="50">
        <f t="shared" si="0"/>
        <v>3214.5128592000001</v>
      </c>
      <c r="AS13" s="50"/>
    </row>
    <row r="15" spans="1:50" x14ac:dyDescent="0.3">
      <c r="A15" s="5">
        <f>'Chemical Data'!A614</f>
        <v>44964</v>
      </c>
      <c r="B15" t="str">
        <f>'Chemical Data'!B614</f>
        <v>057</v>
      </c>
      <c r="C15" t="s">
        <v>281</v>
      </c>
      <c r="D15">
        <f>'Chemical Data'!D614</f>
        <v>0</v>
      </c>
      <c r="E15" t="str">
        <f>'Chemical Data'!E614</f>
        <v>Barr Slope trib</v>
      </c>
      <c r="F15">
        <f>'Chemical Data'!F614</f>
        <v>0</v>
      </c>
      <c r="G15">
        <f>'Chemical Data'!G614</f>
        <v>0</v>
      </c>
      <c r="H15" t="str">
        <f>'Chemical Data'!H614</f>
        <v>Hedin/ICCD</v>
      </c>
      <c r="J15" s="1">
        <f>'Chemical Data'!J614</f>
        <v>134</v>
      </c>
      <c r="K15" t="str">
        <f>'Chemical Data'!K614</f>
        <v>M</v>
      </c>
      <c r="L15" s="2">
        <f>'Chemical Data'!L614</f>
        <v>7.01</v>
      </c>
      <c r="M15" s="2">
        <f>'Chemical Data'!M614</f>
        <v>6.8</v>
      </c>
      <c r="N15" s="1">
        <f>'Chemical Data'!N614</f>
        <v>171</v>
      </c>
      <c r="O15" s="1">
        <f>'Chemical Data'!O614</f>
        <v>172.1</v>
      </c>
      <c r="P15">
        <f>'Chemical Data'!P614</f>
        <v>0</v>
      </c>
      <c r="Q15" s="4">
        <f>'Chemical Data'!Q614</f>
        <v>0</v>
      </c>
      <c r="R15" s="4">
        <f>'Chemical Data'!R614</f>
        <v>47.6</v>
      </c>
      <c r="S15" s="4">
        <f>'Chemical Data'!S614</f>
        <v>-38.200000000000003</v>
      </c>
      <c r="T15" s="4">
        <f>'Chemical Data'!T614</f>
        <v>-47.487613813895223</v>
      </c>
      <c r="U15" s="3">
        <f>'Chemical Data'!U614</f>
        <v>0</v>
      </c>
      <c r="V15" s="3">
        <f>'Chemical Data'!V614</f>
        <v>0</v>
      </c>
      <c r="W15" s="3">
        <f>'Chemical Data'!W614</f>
        <v>0.11</v>
      </c>
      <c r="X15" s="3">
        <f>'Chemical Data'!X614</f>
        <v>0.05</v>
      </c>
      <c r="Z15" s="3">
        <f>'Chemical Data'!Z614</f>
        <v>0.3</v>
      </c>
      <c r="AA15" s="3">
        <f>'Chemical Data'!AA614</f>
        <v>0.01</v>
      </c>
      <c r="AB15" s="3">
        <f>'Chemical Data'!AB614</f>
        <v>24.72</v>
      </c>
      <c r="AC15" s="3">
        <f>'Chemical Data'!AC614</f>
        <v>19.600000000000001</v>
      </c>
      <c r="AD15" s="3">
        <f>'Chemical Data'!AD614</f>
        <v>5.79</v>
      </c>
      <c r="AE15" s="3">
        <f>'Chemical Data'!AE614</f>
        <v>5.0199999999999996</v>
      </c>
      <c r="AF15" s="3">
        <f>'Chemical Data'!AF614</f>
        <v>1.1200000000000001</v>
      </c>
      <c r="AG15" s="3">
        <f>'Chemical Data'!AG614</f>
        <v>4.9000000000000004</v>
      </c>
      <c r="AH15" t="str">
        <f>'Chemical Data'!AH614</f>
        <v>&lt;0.05</v>
      </c>
      <c r="AI15" t="str">
        <f>'Chemical Data'!AI614</f>
        <v>&lt;0.03</v>
      </c>
      <c r="AJ15" t="str">
        <f>'Chemical Data'!AJ614</f>
        <v>&lt;0.2</v>
      </c>
      <c r="AN15" s="1">
        <f>'Chemical Data'!AN614</f>
        <v>-61.425600000000003</v>
      </c>
      <c r="AO15" s="1">
        <f>'Chemical Data'!AO614</f>
        <v>0.17688000000000001</v>
      </c>
      <c r="AP15" s="1">
        <f>'Chemical Data'!AP614</f>
        <v>0.48239999999999994</v>
      </c>
      <c r="AQ15" s="1">
        <f>'Chemical Data'!AQ614</f>
        <v>1.6080000000000001E-2</v>
      </c>
      <c r="AR15" s="1">
        <f>'Chemical Data'!AR614</f>
        <v>39.749760000000002</v>
      </c>
    </row>
    <row r="16" spans="1:50" x14ac:dyDescent="0.3">
      <c r="A16" s="5">
        <f>'Chemical Data'!A615</f>
        <v>45022</v>
      </c>
      <c r="B16" t="str">
        <f>'Chemical Data'!B615</f>
        <v>no sample</v>
      </c>
      <c r="C16" s="5" t="s">
        <v>281</v>
      </c>
      <c r="D16">
        <f>'Chemical Data'!D615</f>
        <v>0</v>
      </c>
      <c r="E16" t="str">
        <f>'Chemical Data'!E615</f>
        <v>Barr Slope trib</v>
      </c>
      <c r="F16">
        <f>'Chemical Data'!F615</f>
        <v>0</v>
      </c>
      <c r="G16">
        <f>'Chemical Data'!G615</f>
        <v>0</v>
      </c>
      <c r="H16" t="str">
        <f>'Chemical Data'!H615</f>
        <v>Hedin/ICCD</v>
      </c>
      <c r="J16" s="1" t="str">
        <f>'Chemical Data'!J615</f>
        <v>~500</v>
      </c>
      <c r="K16" t="str">
        <f>'Chemical Data'!K615</f>
        <v>E</v>
      </c>
      <c r="L16" s="2">
        <f>'Chemical Data'!L615</f>
        <v>6.94</v>
      </c>
      <c r="M16" s="2">
        <f>'Chemical Data'!M615</f>
        <v>0</v>
      </c>
      <c r="N16" s="1">
        <f>'Chemical Data'!N615</f>
        <v>152</v>
      </c>
    </row>
    <row r="17" spans="1:45" x14ac:dyDescent="0.3">
      <c r="A17" s="5">
        <f>'Chemical Data'!A616</f>
        <v>45098</v>
      </c>
      <c r="B17" t="str">
        <f>'Chemical Data'!B616</f>
        <v>046</v>
      </c>
      <c r="C17" t="str">
        <f>'Chemical Data'!C616</f>
        <v>Dixon Barr</v>
      </c>
      <c r="D17">
        <f>'Chemical Data'!D616</f>
        <v>0</v>
      </c>
      <c r="E17" t="str">
        <f>'Chemical Data'!E616</f>
        <v>Barr Slope trib</v>
      </c>
      <c r="F17">
        <f>'Chemical Data'!F616</f>
        <v>0</v>
      </c>
      <c r="G17">
        <f>'Chemical Data'!G616</f>
        <v>0</v>
      </c>
      <c r="H17" t="str">
        <f>'Chemical Data'!H616</f>
        <v>SFU/ICCD</v>
      </c>
      <c r="J17" s="1">
        <f>'Chemical Data'!J616</f>
        <v>849</v>
      </c>
      <c r="K17" t="str">
        <f>'Chemical Data'!K616</f>
        <v>M</v>
      </c>
      <c r="L17" s="2">
        <f>'Chemical Data'!L616</f>
        <v>6.99</v>
      </c>
      <c r="M17" s="2">
        <f>'Chemical Data'!M616</f>
        <v>6.5</v>
      </c>
      <c r="N17" s="1">
        <f>'Chemical Data'!N616</f>
        <v>464.4</v>
      </c>
      <c r="O17" s="1">
        <f>'Chemical Data'!O616</f>
        <v>454</v>
      </c>
      <c r="P17">
        <f>'Chemical Data'!P616</f>
        <v>0</v>
      </c>
      <c r="Q17" s="4">
        <f>'Chemical Data'!Q616</f>
        <v>0</v>
      </c>
      <c r="R17" s="4">
        <f>'Chemical Data'!R616</f>
        <v>90.8</v>
      </c>
      <c r="S17" s="4">
        <f>'Chemical Data'!S616</f>
        <v>-81.8</v>
      </c>
      <c r="T17" s="4">
        <f>'Chemical Data'!T616</f>
        <v>-89.202723535038587</v>
      </c>
      <c r="U17" s="3">
        <f>'Chemical Data'!U616</f>
        <v>0</v>
      </c>
      <c r="V17" s="3">
        <f>'Chemical Data'!V616</f>
        <v>0</v>
      </c>
      <c r="W17" s="3">
        <f>'Chemical Data'!W616</f>
        <v>12.87</v>
      </c>
      <c r="X17" s="3">
        <f>'Chemical Data'!X616</f>
        <v>8.4000000000000005E-2</v>
      </c>
      <c r="Z17" s="23">
        <f>'Chemical Data'!Z616</f>
        <v>6.8630000000000004</v>
      </c>
      <c r="AA17" s="3">
        <f>'Chemical Data'!AA616</f>
        <v>0.80100000000000005</v>
      </c>
      <c r="AB17" s="3">
        <f>'Chemical Data'!AB616</f>
        <v>134.9</v>
      </c>
      <c r="AC17" s="3">
        <f>'Chemical Data'!AC616</f>
        <v>61.3</v>
      </c>
      <c r="AD17" s="3">
        <f>'Chemical Data'!AD616</f>
        <v>19.739999999999998</v>
      </c>
      <c r="AE17" s="3">
        <f>'Chemical Data'!AE616</f>
        <v>8.8000000000000007</v>
      </c>
      <c r="AF17" s="3">
        <f>'Chemical Data'!AF616</f>
        <v>2.0099999999999998</v>
      </c>
      <c r="AG17" s="3">
        <f>'Chemical Data'!AG616</f>
        <v>8.6999999999999993</v>
      </c>
      <c r="AH17">
        <f>'Chemical Data'!AH616</f>
        <v>0.05</v>
      </c>
      <c r="AI17">
        <f>'Chemical Data'!AI616</f>
        <v>5.8999999999999997E-2</v>
      </c>
      <c r="AJ17">
        <f>'Chemical Data'!AJ616</f>
        <v>0.2</v>
      </c>
      <c r="AN17" s="1">
        <f>'Chemical Data'!AN616</f>
        <v>-833.37839999999994</v>
      </c>
      <c r="AQ17" s="1">
        <f>'Chemical Data'!AQ616</f>
        <v>8.1605880000000006</v>
      </c>
      <c r="AR17" s="1">
        <f>'Chemical Data'!AR616</f>
        <v>1374.3612000000001</v>
      </c>
    </row>
    <row r="18" spans="1:45" x14ac:dyDescent="0.3">
      <c r="A18" s="5">
        <f>'Chemical Data'!A617</f>
        <v>45169</v>
      </c>
      <c r="B18" s="5" t="str">
        <f>'Chemical Data'!B617</f>
        <v>032</v>
      </c>
      <c r="C18" s="5" t="str">
        <f>'Chemical Data'!C617</f>
        <v>Dixon Barr</v>
      </c>
      <c r="D18" s="5">
        <f>'Chemical Data'!D617</f>
        <v>0</v>
      </c>
      <c r="E18" s="5" t="str">
        <f>'Chemical Data'!E617</f>
        <v>Barr Slope trib</v>
      </c>
      <c r="F18" s="5" t="str">
        <f>'Chemical Data'!F617</f>
        <v>Not correct. Measured Dixon Run at Barr Slope trib</v>
      </c>
      <c r="G18">
        <f>'Chemical Data'!G617</f>
        <v>0</v>
      </c>
      <c r="H18" t="str">
        <f>'Chemical Data'!H617</f>
        <v>ICCD</v>
      </c>
      <c r="J18">
        <f>'Chemical Data'!J617</f>
        <v>2495.6999999999998</v>
      </c>
      <c r="K18" t="str">
        <f>'Chemical Data'!K617</f>
        <v>M</v>
      </c>
      <c r="L18">
        <f>'Chemical Data'!L617</f>
        <v>7.45</v>
      </c>
      <c r="M18">
        <f>'Chemical Data'!M617</f>
        <v>6.6</v>
      </c>
      <c r="N18">
        <f>'Chemical Data'!N617</f>
        <v>316</v>
      </c>
      <c r="O18">
        <f>'Chemical Data'!O617</f>
        <v>374</v>
      </c>
      <c r="P18">
        <f>'Chemical Data'!P617</f>
        <v>0</v>
      </c>
      <c r="Q18">
        <f>'Chemical Data'!Q617</f>
        <v>0</v>
      </c>
      <c r="R18">
        <f>'Chemical Data'!R617</f>
        <v>74.8</v>
      </c>
      <c r="S18">
        <f>'Chemical Data'!S617</f>
        <v>-67.400000000000006</v>
      </c>
      <c r="T18" s="4">
        <f>'Chemical Data'!T617</f>
        <v>-74.286745933053822</v>
      </c>
      <c r="U18">
        <f>'Chemical Data'!U617</f>
        <v>0</v>
      </c>
      <c r="V18">
        <f>'Chemical Data'!V617</f>
        <v>0</v>
      </c>
      <c r="W18">
        <f>'Chemical Data'!W617</f>
        <v>1.18</v>
      </c>
      <c r="X18">
        <f>'Chemical Data'!X617</f>
        <v>0.152</v>
      </c>
      <c r="Y18"/>
      <c r="Z18">
        <f>'Chemical Data'!Z617</f>
        <v>0.49199999999999999</v>
      </c>
      <c r="AA18">
        <f>'Chemical Data'!AA617</f>
        <v>0.13300000000000001</v>
      </c>
      <c r="AB18">
        <f>'Chemical Data'!AB617</f>
        <v>98.91</v>
      </c>
      <c r="AC18">
        <f>'Chemical Data'!AC617</f>
        <v>46.12</v>
      </c>
      <c r="AD18">
        <f>'Chemical Data'!AD617</f>
        <v>14</v>
      </c>
      <c r="AE18">
        <f>'Chemical Data'!AE617</f>
        <v>5.28</v>
      </c>
      <c r="AF18">
        <f>'Chemical Data'!AF617</f>
        <v>1.7</v>
      </c>
      <c r="AG18">
        <f>'Chemical Data'!AG617</f>
        <v>4.8</v>
      </c>
      <c r="AH18">
        <f>'Chemical Data'!AH617</f>
        <v>0.05</v>
      </c>
      <c r="AI18">
        <f>'Chemical Data'!AI617</f>
        <v>0.03</v>
      </c>
      <c r="AJ18">
        <f>'Chemical Data'!AJ617</f>
        <v>0.2</v>
      </c>
      <c r="AN18" s="4">
        <f>'Chemical Data'!AN617</f>
        <v>-2018.52216</v>
      </c>
      <c r="AO18" s="4">
        <f>'Chemical Data'!AO617</f>
        <v>35.339111999999993</v>
      </c>
      <c r="AP18" s="4">
        <f>'Chemical Data'!AP617</f>
        <v>14.734612799999999</v>
      </c>
      <c r="AQ18" s="4">
        <f>'Chemical Data'!AQ617</f>
        <v>3.9831371999999998</v>
      </c>
      <c r="AR18" s="4">
        <f>'Chemical Data'!AR617</f>
        <v>2962.1962439999998</v>
      </c>
    </row>
    <row r="19" spans="1:45" s="7" customFormat="1" x14ac:dyDescent="0.3">
      <c r="A19" s="45" t="s">
        <v>144</v>
      </c>
      <c r="J19" s="20">
        <f>AVERAGE(J15:J17)</f>
        <v>491.5</v>
      </c>
      <c r="L19" s="20">
        <f t="shared" ref="L19:AR19" si="1">AVERAGE(L15:L17)</f>
        <v>6.9799999999999995</v>
      </c>
      <c r="M19" s="20">
        <f t="shared" si="1"/>
        <v>4.4333333333333336</v>
      </c>
      <c r="N19" s="20">
        <f t="shared" si="1"/>
        <v>262.46666666666664</v>
      </c>
      <c r="O19" s="20">
        <f t="shared" si="1"/>
        <v>313.05</v>
      </c>
      <c r="P19" s="20">
        <f t="shared" si="1"/>
        <v>0</v>
      </c>
      <c r="Q19" s="20">
        <f t="shared" si="1"/>
        <v>0</v>
      </c>
      <c r="R19" s="20">
        <f t="shared" si="1"/>
        <v>69.2</v>
      </c>
      <c r="S19" s="20">
        <f t="shared" si="1"/>
        <v>-60</v>
      </c>
      <c r="T19" s="20">
        <f t="shared" si="1"/>
        <v>-68.345168674466905</v>
      </c>
      <c r="U19" s="20">
        <f t="shared" si="1"/>
        <v>0</v>
      </c>
      <c r="V19" s="20">
        <f t="shared" si="1"/>
        <v>0</v>
      </c>
      <c r="W19" s="20">
        <f t="shared" si="1"/>
        <v>6.4899999999999993</v>
      </c>
      <c r="X19" s="20">
        <f t="shared" si="1"/>
        <v>6.7000000000000004E-2</v>
      </c>
      <c r="Y19" s="20"/>
      <c r="Z19" s="20">
        <f t="shared" si="1"/>
        <v>3.5815000000000001</v>
      </c>
      <c r="AA19" s="20">
        <f t="shared" si="1"/>
        <v>0.40550000000000003</v>
      </c>
      <c r="AB19" s="20">
        <f t="shared" si="1"/>
        <v>79.81</v>
      </c>
      <c r="AC19" s="20">
        <f t="shared" si="1"/>
        <v>40.450000000000003</v>
      </c>
      <c r="AD19" s="20">
        <f t="shared" si="1"/>
        <v>12.764999999999999</v>
      </c>
      <c r="AE19" s="20">
        <f t="shared" si="1"/>
        <v>6.91</v>
      </c>
      <c r="AF19" s="20">
        <f t="shared" si="1"/>
        <v>1.5649999999999999</v>
      </c>
      <c r="AG19" s="20">
        <f t="shared" si="1"/>
        <v>6.8</v>
      </c>
      <c r="AH19" s="20">
        <f t="shared" si="1"/>
        <v>0.05</v>
      </c>
      <c r="AI19" s="20">
        <f t="shared" si="1"/>
        <v>5.8999999999999997E-2</v>
      </c>
      <c r="AJ19" s="20">
        <f t="shared" si="1"/>
        <v>0.2</v>
      </c>
      <c r="AK19" s="20"/>
      <c r="AL19" s="20"/>
      <c r="AM19" s="20"/>
      <c r="AN19" s="20">
        <f t="shared" si="1"/>
        <v>-447.40199999999999</v>
      </c>
      <c r="AO19" s="20">
        <f t="shared" si="1"/>
        <v>0.17688000000000001</v>
      </c>
      <c r="AP19" s="20">
        <f t="shared" si="1"/>
        <v>0.48239999999999994</v>
      </c>
      <c r="AQ19" s="20">
        <f t="shared" si="1"/>
        <v>4.0883340000000006</v>
      </c>
      <c r="AR19" s="20">
        <f t="shared" si="1"/>
        <v>707.05547999999999</v>
      </c>
      <c r="AS19" s="20"/>
    </row>
    <row r="20" spans="1:45" x14ac:dyDescent="0.3">
      <c r="A20" s="5"/>
    </row>
    <row r="21" spans="1:45" x14ac:dyDescent="0.3">
      <c r="A21" s="5">
        <f>'Chemical Data'!A534</f>
        <v>45022</v>
      </c>
      <c r="B21" t="str">
        <f>'Chemical Data'!B534</f>
        <v>040</v>
      </c>
      <c r="C21" t="str">
        <f>'Chemical Data'!C534</f>
        <v>Dixon 3</v>
      </c>
      <c r="D21">
        <f>'Chemical Data'!D534</f>
        <v>0</v>
      </c>
      <c r="E21" t="str">
        <f>'Chemical Data'!E534</f>
        <v xml:space="preserve">Refuse seepage just downstream of </v>
      </c>
      <c r="F21">
        <f>'Chemical Data'!F534</f>
        <v>0</v>
      </c>
      <c r="G21">
        <f>'Chemical Data'!G534</f>
        <v>0</v>
      </c>
      <c r="H21" t="str">
        <f>'Chemical Data'!H534</f>
        <v>Hedin/ICCD</v>
      </c>
      <c r="J21" s="1">
        <f>AR21/AB21*83.23</f>
        <v>15.81737395697859</v>
      </c>
      <c r="K21" t="s">
        <v>265</v>
      </c>
      <c r="L21" s="2">
        <f>'Chemical Data'!L534</f>
        <v>2.33</v>
      </c>
      <c r="M21" s="2">
        <f>'Chemical Data'!M534</f>
        <v>2.2000000000000002</v>
      </c>
      <c r="N21" s="1" t="str">
        <f>'Chemical Data'!N534</f>
        <v>&gt;4000</v>
      </c>
      <c r="O21" s="1">
        <f>'Chemical Data'!O534</f>
        <v>6620</v>
      </c>
      <c r="P21">
        <f>'Chemical Data'!P534</f>
        <v>0</v>
      </c>
      <c r="Q21" s="4">
        <f>'Chemical Data'!Q534</f>
        <v>0</v>
      </c>
      <c r="R21" s="4">
        <f>'Chemical Data'!R534</f>
        <v>0</v>
      </c>
      <c r="S21" s="4">
        <f>'Chemical Data'!S534</f>
        <v>7664.6</v>
      </c>
      <c r="T21" s="4">
        <f>'Chemical Data'!T534</f>
        <v>0</v>
      </c>
      <c r="U21" s="3">
        <f>'Chemical Data'!U534</f>
        <v>0</v>
      </c>
      <c r="V21" s="3">
        <f>'Chemical Data'!V534</f>
        <v>0</v>
      </c>
      <c r="W21" s="3">
        <f>'Chemical Data'!W534</f>
        <v>1899</v>
      </c>
      <c r="X21" s="3">
        <f>'Chemical Data'!X534</f>
        <v>0</v>
      </c>
      <c r="Z21" s="3">
        <f>'Chemical Data'!Z534</f>
        <v>499</v>
      </c>
      <c r="AA21" s="3">
        <f>'Chemical Data'!AA534</f>
        <v>22.7</v>
      </c>
      <c r="AB21" s="3">
        <f>'Chemical Data'!AB534</f>
        <v>8779.35</v>
      </c>
      <c r="AC21" s="3">
        <f>'Chemical Data'!AC534</f>
        <v>235</v>
      </c>
      <c r="AD21" s="3">
        <f>'Chemical Data'!AD534</f>
        <v>134</v>
      </c>
      <c r="AE21" s="3">
        <f>'Chemical Data'!AE534</f>
        <v>3.44</v>
      </c>
      <c r="AF21" s="3">
        <f>'Chemical Data'!AF534</f>
        <v>1</v>
      </c>
      <c r="AG21" s="3">
        <f>'Chemical Data'!AG534</f>
        <v>4</v>
      </c>
      <c r="AH21">
        <f>'Chemical Data'!AH534</f>
        <v>1.18</v>
      </c>
      <c r="AI21">
        <f>'Chemical Data'!AI534</f>
        <v>3.44</v>
      </c>
      <c r="AJ21" t="str">
        <f>'Chemical Data'!AJ534</f>
        <v>&lt;0.2</v>
      </c>
      <c r="AN21" s="1">
        <f>J21*S21/83.23</f>
        <v>1456.6123324601479</v>
      </c>
      <c r="AO21" s="1">
        <f t="shared" ref="AO21:AR22" si="2">AO35-AO10</f>
        <v>85.314864</v>
      </c>
      <c r="AP21" s="1">
        <f t="shared" si="2"/>
        <v>19.183799999999994</v>
      </c>
      <c r="AQ21" s="1">
        <f t="shared" si="2"/>
        <v>11.043612000000001</v>
      </c>
      <c r="AR21" s="1">
        <f>AR35-AR10</f>
        <v>1668.4640399999998</v>
      </c>
    </row>
    <row r="22" spans="1:45" x14ac:dyDescent="0.3">
      <c r="A22" s="5">
        <v>45098</v>
      </c>
      <c r="E22" t="s">
        <v>253</v>
      </c>
      <c r="J22" s="1">
        <f>AR22/AB24*83.23</f>
        <v>7.9254146387698503</v>
      </c>
      <c r="AN22" s="1">
        <f>AN36-AN11</f>
        <v>-303.03840000000002</v>
      </c>
      <c r="AO22" s="1">
        <f t="shared" si="2"/>
        <v>4.7410079999999999</v>
      </c>
      <c r="AP22" s="1">
        <f t="shared" si="2"/>
        <v>1.3895999999999997</v>
      </c>
      <c r="AQ22" s="1">
        <f t="shared" si="2"/>
        <v>3.806352</v>
      </c>
      <c r="AR22" s="1">
        <f t="shared" si="2"/>
        <v>821.60591999999997</v>
      </c>
    </row>
    <row r="23" spans="1:45" x14ac:dyDescent="0.3">
      <c r="A23" s="5">
        <f>'Chemical Data'!A535</f>
        <v>45169</v>
      </c>
      <c r="B23" t="str">
        <f>'Chemical Data'!B535</f>
        <v>031</v>
      </c>
      <c r="C23" t="str">
        <f>'Chemical Data'!C535</f>
        <v>Dixon 3</v>
      </c>
      <c r="D23">
        <f>'Chemical Data'!D535</f>
        <v>0</v>
      </c>
      <c r="E23" t="str">
        <f>'Chemical Data'!E535</f>
        <v>Refuse seepage US of Moose Lodge</v>
      </c>
      <c r="F23">
        <f>'Chemical Data'!F535</f>
        <v>40.708447999999997</v>
      </c>
      <c r="G23">
        <f>'Chemical Data'!G535</f>
        <v>-79.008510999999999</v>
      </c>
      <c r="H23" t="str">
        <f>'Chemical Data'!H535</f>
        <v>ICCD</v>
      </c>
      <c r="J23" s="1">
        <f>AR23/AB23*83.23</f>
        <v>34.215503137686234</v>
      </c>
      <c r="L23" s="2">
        <f>'Chemical Data'!L535</f>
        <v>2.4300000000000002</v>
      </c>
      <c r="M23" s="2">
        <f>'Chemical Data'!M535</f>
        <v>2.2000000000000002</v>
      </c>
      <c r="N23" s="1" t="str">
        <f>'Chemical Data'!N535</f>
        <v>&gt;4000</v>
      </c>
      <c r="O23" s="1">
        <f>'Chemical Data'!O535</f>
        <v>6580</v>
      </c>
      <c r="P23">
        <f>'Chemical Data'!P535</f>
        <v>0</v>
      </c>
      <c r="Q23" s="4">
        <f>'Chemical Data'!Q535</f>
        <v>0</v>
      </c>
      <c r="R23" s="4">
        <f>'Chemical Data'!R535</f>
        <v>0</v>
      </c>
      <c r="S23" s="4">
        <f>'Chemical Data'!S535</f>
        <v>7066.6</v>
      </c>
      <c r="T23" s="4">
        <f>'Chemical Data'!T535</f>
        <v>7607.1568445485855</v>
      </c>
      <c r="U23" s="3">
        <f>'Chemical Data'!U535</f>
        <v>0</v>
      </c>
      <c r="V23" s="3">
        <f>'Chemical Data'!V535</f>
        <v>0</v>
      </c>
      <c r="W23" s="3">
        <f>'Chemical Data'!W535</f>
        <v>1810</v>
      </c>
      <c r="X23" s="3">
        <f>'Chemical Data'!X535</f>
        <v>298.09300000000002</v>
      </c>
      <c r="Z23" s="3">
        <f>'Chemical Data'!Z535</f>
        <v>502</v>
      </c>
      <c r="AA23" s="3">
        <f>'Chemical Data'!AA535</f>
        <v>24.6</v>
      </c>
      <c r="AB23" s="3">
        <f>'Chemical Data'!AB535</f>
        <v>8477.1</v>
      </c>
      <c r="AC23" s="3">
        <f>'Chemical Data'!AC535</f>
        <v>221</v>
      </c>
      <c r="AD23" s="3">
        <f>'Chemical Data'!AD535</f>
        <v>136</v>
      </c>
      <c r="AE23" s="3">
        <f>'Chemical Data'!AE535</f>
        <v>3.6</v>
      </c>
      <c r="AF23" s="3">
        <f>'Chemical Data'!AF535</f>
        <v>1</v>
      </c>
      <c r="AG23" s="3">
        <f>'Chemical Data'!AG535</f>
        <v>4</v>
      </c>
      <c r="AH23">
        <f>'Chemical Data'!AH535</f>
        <v>1.19</v>
      </c>
      <c r="AI23">
        <f>'Chemical Data'!AI535</f>
        <v>3.3</v>
      </c>
      <c r="AJ23">
        <f>'Chemical Data'!AJ535</f>
        <v>0.2</v>
      </c>
      <c r="AN23" s="1">
        <f t="shared" ref="AN23:AQ23" si="3">AN37-AN12</f>
        <v>-87.48984000000064</v>
      </c>
      <c r="AO23" s="1">
        <f t="shared" si="3"/>
        <v>104.77530360000002</v>
      </c>
      <c r="AP23" s="1">
        <f t="shared" si="3"/>
        <v>66.685092000000026</v>
      </c>
      <c r="AQ23" s="1">
        <f t="shared" si="3"/>
        <v>30.033708600000004</v>
      </c>
      <c r="AR23" s="1">
        <f>AR37-AR12</f>
        <v>3484.9001760000001</v>
      </c>
    </row>
    <row r="24" spans="1:45" s="7" customFormat="1" x14ac:dyDescent="0.3">
      <c r="A24" s="45" t="s">
        <v>144</v>
      </c>
      <c r="J24" s="15">
        <f t="shared" ref="J24:K24" si="4">AVERAGE(J21:J23)</f>
        <v>19.319430577811559</v>
      </c>
      <c r="K24" s="15" t="e">
        <f t="shared" si="4"/>
        <v>#DIV/0!</v>
      </c>
      <c r="L24" s="15">
        <f>AVERAGE(L21:L23)</f>
        <v>2.38</v>
      </c>
      <c r="M24" s="15">
        <f t="shared" ref="M24:AR24" si="5">AVERAGE(M21:M23)</f>
        <v>2.2000000000000002</v>
      </c>
      <c r="N24" s="15" t="e">
        <f t="shared" si="5"/>
        <v>#DIV/0!</v>
      </c>
      <c r="O24" s="15">
        <f t="shared" si="5"/>
        <v>6600</v>
      </c>
      <c r="P24" s="15">
        <f t="shared" si="5"/>
        <v>0</v>
      </c>
      <c r="Q24" s="15">
        <f t="shared" si="5"/>
        <v>0</v>
      </c>
      <c r="R24" s="15">
        <f t="shared" si="5"/>
        <v>0</v>
      </c>
      <c r="S24" s="15">
        <f t="shared" si="5"/>
        <v>7365.6</v>
      </c>
      <c r="T24" s="15">
        <f t="shared" si="5"/>
        <v>3803.5784222742927</v>
      </c>
      <c r="U24" s="15">
        <f t="shared" si="5"/>
        <v>0</v>
      </c>
      <c r="V24" s="15">
        <f t="shared" si="5"/>
        <v>0</v>
      </c>
      <c r="W24" s="15">
        <f t="shared" si="5"/>
        <v>1854.5</v>
      </c>
      <c r="X24" s="15">
        <f t="shared" si="5"/>
        <v>149.04650000000001</v>
      </c>
      <c r="Y24" s="15"/>
      <c r="Z24" s="15">
        <f t="shared" si="5"/>
        <v>500.5</v>
      </c>
      <c r="AA24" s="15">
        <f t="shared" si="5"/>
        <v>23.65</v>
      </c>
      <c r="AB24" s="15">
        <f t="shared" si="5"/>
        <v>8628.2250000000004</v>
      </c>
      <c r="AC24" s="15">
        <f t="shared" si="5"/>
        <v>228</v>
      </c>
      <c r="AD24" s="15">
        <f t="shared" si="5"/>
        <v>135</v>
      </c>
      <c r="AE24" s="15">
        <f t="shared" si="5"/>
        <v>3.52</v>
      </c>
      <c r="AF24" s="15">
        <f t="shared" si="5"/>
        <v>1</v>
      </c>
      <c r="AG24" s="15">
        <f t="shared" si="5"/>
        <v>4</v>
      </c>
      <c r="AH24" s="15">
        <f t="shared" si="5"/>
        <v>1.1850000000000001</v>
      </c>
      <c r="AI24" s="15">
        <f t="shared" si="5"/>
        <v>3.37</v>
      </c>
      <c r="AJ24" s="15">
        <f t="shared" si="5"/>
        <v>0.2</v>
      </c>
      <c r="AK24" s="15"/>
      <c r="AL24" s="15"/>
      <c r="AM24" s="15"/>
      <c r="AN24" s="15">
        <f t="shared" si="5"/>
        <v>355.36136415338234</v>
      </c>
      <c r="AO24" s="15">
        <f t="shared" si="5"/>
        <v>64.943725200000003</v>
      </c>
      <c r="AP24" s="15">
        <f t="shared" si="5"/>
        <v>29.086164000000007</v>
      </c>
      <c r="AQ24" s="15">
        <f t="shared" si="5"/>
        <v>14.961224200000002</v>
      </c>
      <c r="AR24" s="15">
        <f t="shared" si="5"/>
        <v>1991.656712</v>
      </c>
      <c r="AS24" s="15"/>
    </row>
    <row r="25" spans="1:45" x14ac:dyDescent="0.3">
      <c r="A25" s="5"/>
    </row>
    <row r="26" spans="1:45" x14ac:dyDescent="0.3">
      <c r="A26" s="5">
        <f>'Chemical Data'!A529</f>
        <v>44845</v>
      </c>
      <c r="B26" t="str">
        <f>'Chemical Data'!B529</f>
        <v>029</v>
      </c>
      <c r="C26" t="str">
        <f>'Chemical Data'!C529</f>
        <v>T15-2</v>
      </c>
      <c r="E26" t="str">
        <f>'Chemical Data'!E529</f>
        <v>Dixon Run at Moose Lodge</v>
      </c>
      <c r="F26">
        <f>'Chemical Data'!F529</f>
        <v>40.704990000000002</v>
      </c>
      <c r="G26">
        <f>'Chemical Data'!G529</f>
        <v>-79.007741999999993</v>
      </c>
      <c r="H26" t="str">
        <f>'Chemical Data'!H529</f>
        <v>Tasker</v>
      </c>
      <c r="I26">
        <v>2.79</v>
      </c>
      <c r="J26" s="1" t="str">
        <f>'Chemical Data'!J529</f>
        <v>n/m</v>
      </c>
      <c r="K26">
        <f>'Chemical Data'!K529</f>
        <v>0</v>
      </c>
      <c r="L26" s="2">
        <f>'Chemical Data'!L529</f>
        <v>7.11</v>
      </c>
      <c r="M26" s="2">
        <f>'Chemical Data'!M529</f>
        <v>7.3</v>
      </c>
      <c r="N26" s="1">
        <f>'Chemical Data'!N529</f>
        <v>484</v>
      </c>
      <c r="O26" s="1">
        <f>'Chemical Data'!O529</f>
        <v>487</v>
      </c>
      <c r="P26">
        <f>'Chemical Data'!P529</f>
        <v>9.1</v>
      </c>
      <c r="Q26" s="4">
        <f>'Chemical Data'!Q529</f>
        <v>88</v>
      </c>
      <c r="R26" s="4">
        <f>'Chemical Data'!R529</f>
        <v>85.6</v>
      </c>
      <c r="S26" s="4">
        <f>'Chemical Data'!S529</f>
        <v>-73.8</v>
      </c>
      <c r="T26" s="4">
        <f>'Chemical Data'!T529</f>
        <v>-84.98416876441685</v>
      </c>
      <c r="U26" s="3">
        <f>'Chemical Data'!U529</f>
        <v>9.02</v>
      </c>
      <c r="V26" s="3">
        <f>'Chemical Data'!V529</f>
        <v>78.2</v>
      </c>
      <c r="W26" s="3">
        <f>'Chemical Data'!W529</f>
        <v>2.573</v>
      </c>
      <c r="X26" s="3">
        <f>'Chemical Data'!X529</f>
        <v>1.385</v>
      </c>
      <c r="Z26" s="3">
        <f>'Chemical Data'!Z529</f>
        <v>0.82799999999999996</v>
      </c>
      <c r="AA26" s="3">
        <f>'Chemical Data'!AA529</f>
        <v>0.29599999999999999</v>
      </c>
      <c r="AB26" s="3">
        <f>'Chemical Data'!AB529</f>
        <v>158.47</v>
      </c>
      <c r="AC26" s="3">
        <f>'Chemical Data'!AC529</f>
        <v>61.47</v>
      </c>
      <c r="AD26" s="3">
        <f>'Chemical Data'!AD529</f>
        <v>19.45</v>
      </c>
      <c r="AE26" s="3">
        <f>'Chemical Data'!AE529</f>
        <v>8.06</v>
      </c>
      <c r="AF26" s="3">
        <f>'Chemical Data'!AF529</f>
        <v>1.98</v>
      </c>
      <c r="AG26" s="3">
        <f>'Chemical Data'!AG529</f>
        <v>7.8</v>
      </c>
      <c r="AH26" t="str">
        <f>'Chemical Data'!AH529</f>
        <v>&lt;0.05</v>
      </c>
      <c r="AI26" t="str">
        <f>'Chemical Data'!AI529</f>
        <v>&lt;0.03</v>
      </c>
      <c r="AJ26" t="str">
        <f>'Chemical Data'!AJ529</f>
        <v>&lt;0.2</v>
      </c>
      <c r="AN26"/>
      <c r="AO26"/>
      <c r="AP26"/>
      <c r="AQ26"/>
      <c r="AR26"/>
    </row>
    <row r="27" spans="1:45" x14ac:dyDescent="0.3">
      <c r="A27" s="5">
        <f>'Chemical Data'!A530</f>
        <v>44903</v>
      </c>
      <c r="B27" t="str">
        <f>'Chemical Data'!B530</f>
        <v>029</v>
      </c>
      <c r="C27" t="str">
        <f>'Chemical Data'!C530</f>
        <v>T15-2</v>
      </c>
      <c r="E27" t="str">
        <f>'Chemical Data'!E530</f>
        <v>Dixon Run at Moose Lodge</v>
      </c>
      <c r="F27">
        <f>'Chemical Data'!F530</f>
        <v>40.704990000000002</v>
      </c>
      <c r="G27">
        <f>'Chemical Data'!G530</f>
        <v>-79.007741999999993</v>
      </c>
      <c r="H27" t="str">
        <f>'Chemical Data'!H530</f>
        <v>Tasker</v>
      </c>
      <c r="I27">
        <v>2.79</v>
      </c>
      <c r="J27" s="1" t="str">
        <f>'Chemical Data'!J530</f>
        <v>n/m</v>
      </c>
      <c r="K27">
        <f>'Chemical Data'!K530</f>
        <v>0</v>
      </c>
      <c r="L27" s="2">
        <f>'Chemical Data'!L530</f>
        <v>7.28</v>
      </c>
      <c r="M27" s="2">
        <f>'Chemical Data'!M530</f>
        <v>7.3</v>
      </c>
      <c r="N27" s="1">
        <f>'Chemical Data'!N530</f>
        <v>321.8</v>
      </c>
      <c r="O27" s="1">
        <f>'Chemical Data'!O530</f>
        <v>239</v>
      </c>
      <c r="P27">
        <f>'Chemical Data'!P530</f>
        <v>7.9</v>
      </c>
      <c r="Q27" s="4">
        <f>'Chemical Data'!Q530</f>
        <v>57.5</v>
      </c>
      <c r="R27" s="4">
        <f>'Chemical Data'!R530</f>
        <v>66.2</v>
      </c>
      <c r="S27" s="4">
        <f>'Chemical Data'!S530</f>
        <v>-52.2</v>
      </c>
      <c r="T27" s="4">
        <f>'Chemical Data'!T530</f>
        <v>-56.29479596269875</v>
      </c>
      <c r="U27" s="3">
        <f>'Chemical Data'!U530</f>
        <v>10.8</v>
      </c>
      <c r="V27" s="3">
        <f>'Chemical Data'!V530</f>
        <v>90.9</v>
      </c>
      <c r="W27" s="3">
        <f>'Chemical Data'!W530</f>
        <v>1.651</v>
      </c>
      <c r="X27" s="3">
        <f>'Chemical Data'!X530</f>
        <v>0.52200000000000002</v>
      </c>
      <c r="Z27" s="3">
        <f>'Chemical Data'!Z530</f>
        <v>0.56799999999999995</v>
      </c>
      <c r="AA27" s="3">
        <f>'Chemical Data'!AA530</f>
        <v>0.14899999999999999</v>
      </c>
      <c r="AC27" s="3">
        <f>'Chemical Data'!AC530</f>
        <v>39.83</v>
      </c>
      <c r="AD27" s="3">
        <f>'Chemical Data'!AD530</f>
        <v>12.41</v>
      </c>
      <c r="AE27" s="3">
        <f>'Chemical Data'!AE530</f>
        <v>5.86</v>
      </c>
      <c r="AF27" s="3">
        <f>'Chemical Data'!AF530</f>
        <v>1.73</v>
      </c>
      <c r="AG27" s="3">
        <f>'Chemical Data'!AG530</f>
        <v>6.1</v>
      </c>
      <c r="AH27" t="str">
        <f>'Chemical Data'!AH530</f>
        <v>&lt;0.05</v>
      </c>
      <c r="AI27" t="str">
        <f>'Chemical Data'!AI530</f>
        <v>&lt;0.03</v>
      </c>
      <c r="AJ27" t="str">
        <f>'Chemical Data'!AJ530</f>
        <v>&lt;0.2</v>
      </c>
    </row>
    <row r="28" spans="1:45" x14ac:dyDescent="0.3">
      <c r="A28" s="5">
        <f>'Chemical Data'!A531</f>
        <v>44964</v>
      </c>
      <c r="B28" t="str">
        <f>'Chemical Data'!B531</f>
        <v>029</v>
      </c>
      <c r="C28" t="str">
        <f>'Chemical Data'!C531</f>
        <v>T15-2</v>
      </c>
      <c r="D28">
        <f>'Chemical Data'!D531</f>
        <v>0</v>
      </c>
      <c r="E28" t="str">
        <f>'Chemical Data'!E531</f>
        <v>Dixon Run at Moose Lodge</v>
      </c>
      <c r="F28">
        <f>'Chemical Data'!F531</f>
        <v>40.704990000000002</v>
      </c>
      <c r="G28">
        <f>'Chemical Data'!G531</f>
        <v>-79.007741999999993</v>
      </c>
      <c r="H28" t="str">
        <f>'Chemical Data'!H531</f>
        <v>Hedin/ICCD</v>
      </c>
      <c r="J28" s="1">
        <f>'Chemical Data'!J531</f>
        <v>3942</v>
      </c>
      <c r="K28" t="str">
        <f>'Chemical Data'!K531</f>
        <v>M</v>
      </c>
      <c r="L28" s="2">
        <f>'Chemical Data'!L531</f>
        <v>6.95</v>
      </c>
      <c r="M28" s="2">
        <f>'Chemical Data'!M531</f>
        <v>7.1</v>
      </c>
      <c r="N28" s="1">
        <f>'Chemical Data'!N531</f>
        <v>368</v>
      </c>
      <c r="O28" s="1">
        <f>'Chemical Data'!O531</f>
        <v>374</v>
      </c>
      <c r="P28">
        <f>'Chemical Data'!P531</f>
        <v>0</v>
      </c>
      <c r="Q28" s="4">
        <f>'Chemical Data'!Q531</f>
        <v>59</v>
      </c>
      <c r="R28" s="4">
        <f>'Chemical Data'!R531</f>
        <v>66</v>
      </c>
      <c r="S28" s="4">
        <f>'Chemical Data'!S531</f>
        <v>-50.2</v>
      </c>
      <c r="T28" s="4">
        <f>'Chemical Data'!T531</f>
        <v>-57.766469907728492</v>
      </c>
      <c r="U28" s="3">
        <f>'Chemical Data'!U531</f>
        <v>0</v>
      </c>
      <c r="V28" s="3">
        <f>'Chemical Data'!V531</f>
        <v>0</v>
      </c>
      <c r="W28" s="3">
        <f>'Chemical Data'!W531</f>
        <v>1.86</v>
      </c>
      <c r="X28" s="3">
        <f>'Chemical Data'!X531</f>
        <v>0.50800000000000001</v>
      </c>
      <c r="Z28" s="3">
        <f>'Chemical Data'!Z531</f>
        <v>0.56100000000000005</v>
      </c>
      <c r="AA28" s="3">
        <f>'Chemical Data'!AA531</f>
        <v>0.17699999999999999</v>
      </c>
      <c r="AB28" s="3">
        <f>'Chemical Data'!AB531</f>
        <v>109.82</v>
      </c>
      <c r="AC28" s="3">
        <f>'Chemical Data'!AC531</f>
        <v>44.5</v>
      </c>
      <c r="AD28" s="3">
        <f>'Chemical Data'!AD531</f>
        <v>14.23</v>
      </c>
      <c r="AE28" s="3">
        <f>'Chemical Data'!AE531</f>
        <v>5.49</v>
      </c>
      <c r="AF28" s="3">
        <f>'Chemical Data'!AF531</f>
        <v>1.49</v>
      </c>
      <c r="AG28" s="3">
        <f>'Chemical Data'!AG531</f>
        <v>6</v>
      </c>
      <c r="AH28" t="str">
        <f>'Chemical Data'!AH531</f>
        <v>&lt;0.05</v>
      </c>
      <c r="AI28" t="str">
        <f>'Chemical Data'!AI531</f>
        <v>&lt;0.03</v>
      </c>
      <c r="AJ28" t="str">
        <f>'Chemical Data'!AJ531</f>
        <v>&lt;0.2</v>
      </c>
      <c r="AN28" s="1">
        <f>'Chemical Data'!AN531</f>
        <v>-2374.6608000000001</v>
      </c>
      <c r="AO28" s="1">
        <f>'Chemical Data'!AO531</f>
        <v>87.985440000000011</v>
      </c>
      <c r="AP28" s="1">
        <f>'Chemical Data'!AP531</f>
        <v>26.537544</v>
      </c>
      <c r="AQ28" s="1">
        <f>'Chemical Data'!AQ531</f>
        <v>8.3728079999999991</v>
      </c>
      <c r="AR28" s="1">
        <f>'Chemical Data'!AR531</f>
        <v>5194.9252799999995</v>
      </c>
    </row>
    <row r="29" spans="1:45" x14ac:dyDescent="0.3">
      <c r="A29" s="5">
        <f>'Chemical Data'!A532</f>
        <v>45169</v>
      </c>
      <c r="B29" t="str">
        <f>'Chemical Data'!B532</f>
        <v>030</v>
      </c>
      <c r="C29">
        <f>'Chemical Data'!C532</f>
        <v>0</v>
      </c>
      <c r="D29">
        <f>'Chemical Data'!D532</f>
        <v>0</v>
      </c>
      <c r="E29" t="str">
        <f>'Chemical Data'!E532</f>
        <v>Dixon Run at Moose Lodge</v>
      </c>
      <c r="F29">
        <f>'Chemical Data'!F532</f>
        <v>40.704990000000002</v>
      </c>
      <c r="G29">
        <f>'Chemical Data'!G532</f>
        <v>-79.007741999999993</v>
      </c>
      <c r="H29" t="str">
        <f>'Chemical Data'!H532</f>
        <v>ICCD</v>
      </c>
      <c r="J29" s="1">
        <f>'Chemical Data'!J532</f>
        <v>3186.9</v>
      </c>
      <c r="K29" t="str">
        <f>'Chemical Data'!K532</f>
        <v>M</v>
      </c>
      <c r="L29" s="2">
        <f>'Chemical Data'!L532</f>
        <v>7.3</v>
      </c>
      <c r="M29" s="2">
        <f>'Chemical Data'!M532</f>
        <v>7.1</v>
      </c>
      <c r="N29" s="1">
        <f>'Chemical Data'!N532</f>
        <v>326</v>
      </c>
      <c r="O29" s="1">
        <f>'Chemical Data'!O532</f>
        <v>364</v>
      </c>
      <c r="P29">
        <f>'Chemical Data'!P532</f>
        <v>0</v>
      </c>
      <c r="Q29" s="4">
        <f>'Chemical Data'!Q532</f>
        <v>0</v>
      </c>
      <c r="R29" s="4">
        <f>'Chemical Data'!R532</f>
        <v>75.2</v>
      </c>
      <c r="S29" s="4">
        <f>'Chemical Data'!S532</f>
        <v>-66.400000000000006</v>
      </c>
      <c r="T29" s="4">
        <f>'Chemical Data'!T532</f>
        <v>-74.744584063831866</v>
      </c>
      <c r="U29" s="3">
        <f>'Chemical Data'!U532</f>
        <v>0</v>
      </c>
      <c r="V29" s="3">
        <f>'Chemical Data'!V532</f>
        <v>0</v>
      </c>
      <c r="W29" s="3">
        <f>'Chemical Data'!W532</f>
        <v>1.87</v>
      </c>
      <c r="X29" s="3">
        <f>'Chemical Data'!X532</f>
        <v>6.9000000000000006E-2</v>
      </c>
      <c r="Z29" s="3">
        <f>'Chemical Data'!Z532</f>
        <v>0.61</v>
      </c>
      <c r="AA29" s="3">
        <f>'Chemical Data'!AA532</f>
        <v>0.183</v>
      </c>
      <c r="AB29" s="3">
        <f>'Chemical Data'!AB532</f>
        <v>100.92</v>
      </c>
      <c r="AC29" s="3">
        <f>'Chemical Data'!AC532</f>
        <v>47.4</v>
      </c>
      <c r="AD29" s="3">
        <f>'Chemical Data'!AD532</f>
        <v>14.4</v>
      </c>
      <c r="AE29" s="3">
        <f>'Chemical Data'!AE532</f>
        <v>5.46</v>
      </c>
      <c r="AF29" s="3">
        <f>'Chemical Data'!AF532</f>
        <v>1.76</v>
      </c>
      <c r="AG29" s="3">
        <f>'Chemical Data'!AG532</f>
        <v>4.8</v>
      </c>
      <c r="AH29" t="str">
        <f>'Chemical Data'!AH532</f>
        <v>&lt;0.05</v>
      </c>
      <c r="AI29" t="str">
        <f>'Chemical Data'!AI532</f>
        <v>&lt;0.03</v>
      </c>
      <c r="AJ29" t="str">
        <f>'Chemical Data'!AJ532</f>
        <v>&lt;0.2</v>
      </c>
      <c r="AN29" s="1">
        <f>'Chemical Data'!AN532</f>
        <v>-2539.3219200000003</v>
      </c>
      <c r="AO29" s="1">
        <f>'Chemical Data'!AO532</f>
        <v>71.514036000000004</v>
      </c>
      <c r="AP29" s="1">
        <f>'Chemical Data'!AP532</f>
        <v>23.328108</v>
      </c>
      <c r="AQ29" s="1">
        <f>'Chemical Data'!AQ532</f>
        <v>6.9984324000000004</v>
      </c>
      <c r="AR29" s="1">
        <f>'Chemical Data'!AR532</f>
        <v>3859.4633760000006</v>
      </c>
    </row>
    <row r="30" spans="1:45" s="7" customFormat="1" x14ac:dyDescent="0.3">
      <c r="A30" s="45" t="s">
        <v>144</v>
      </c>
      <c r="J30" s="15">
        <f>AVERAGE(J26:J28)</f>
        <v>3942</v>
      </c>
      <c r="L30" s="15">
        <f>AVERAGE(L26:L28)</f>
        <v>7.1133333333333333</v>
      </c>
      <c r="M30" s="15">
        <f t="shared" ref="M30:AR30" si="6">AVERAGE(M26:M28)</f>
        <v>7.2333333333333334</v>
      </c>
      <c r="N30" s="15">
        <f t="shared" si="6"/>
        <v>391.26666666666665</v>
      </c>
      <c r="O30" s="15">
        <f t="shared" si="6"/>
        <v>366.66666666666669</v>
      </c>
      <c r="P30" s="15">
        <f t="shared" si="6"/>
        <v>5.666666666666667</v>
      </c>
      <c r="Q30" s="15">
        <f t="shared" si="6"/>
        <v>68.166666666666671</v>
      </c>
      <c r="R30" s="15">
        <f t="shared" si="6"/>
        <v>72.600000000000009</v>
      </c>
      <c r="S30" s="15">
        <f t="shared" si="6"/>
        <v>-58.733333333333327</v>
      </c>
      <c r="T30" s="15">
        <f t="shared" si="6"/>
        <v>-66.348478211614704</v>
      </c>
      <c r="U30" s="15">
        <f t="shared" si="6"/>
        <v>6.6066666666666665</v>
      </c>
      <c r="V30" s="15">
        <f t="shared" si="6"/>
        <v>56.366666666666674</v>
      </c>
      <c r="W30" s="15">
        <f t="shared" si="6"/>
        <v>2.028</v>
      </c>
      <c r="X30" s="15">
        <f t="shared" si="6"/>
        <v>0.80500000000000005</v>
      </c>
      <c r="Y30" s="15"/>
      <c r="Z30" s="15">
        <f t="shared" si="6"/>
        <v>0.65233333333333332</v>
      </c>
      <c r="AA30" s="15">
        <f t="shared" si="6"/>
        <v>0.20733333333333329</v>
      </c>
      <c r="AB30" s="15">
        <f t="shared" si="6"/>
        <v>134.14499999999998</v>
      </c>
      <c r="AC30" s="15">
        <f t="shared" si="6"/>
        <v>48.6</v>
      </c>
      <c r="AD30" s="15">
        <f t="shared" si="6"/>
        <v>15.363333333333335</v>
      </c>
      <c r="AE30" s="15">
        <f t="shared" si="6"/>
        <v>6.4700000000000015</v>
      </c>
      <c r="AF30" s="15">
        <f t="shared" si="6"/>
        <v>1.7333333333333334</v>
      </c>
      <c r="AG30" s="15">
        <f t="shared" si="6"/>
        <v>6.6333333333333329</v>
      </c>
      <c r="AH30" s="15" t="e">
        <f t="shared" si="6"/>
        <v>#DIV/0!</v>
      </c>
      <c r="AI30" s="15" t="e">
        <f t="shared" si="6"/>
        <v>#DIV/0!</v>
      </c>
      <c r="AJ30" s="15" t="e">
        <f t="shared" si="6"/>
        <v>#DIV/0!</v>
      </c>
      <c r="AK30" s="15"/>
      <c r="AL30" s="15"/>
      <c r="AM30" s="15"/>
      <c r="AN30" s="15">
        <f t="shared" si="6"/>
        <v>-2374.6608000000001</v>
      </c>
      <c r="AO30" s="15">
        <f t="shared" si="6"/>
        <v>87.985440000000011</v>
      </c>
      <c r="AP30" s="15">
        <f t="shared" si="6"/>
        <v>26.537544</v>
      </c>
      <c r="AQ30" s="15">
        <f t="shared" si="6"/>
        <v>8.3728079999999991</v>
      </c>
      <c r="AR30" s="15">
        <f t="shared" si="6"/>
        <v>5194.9252799999995</v>
      </c>
    </row>
    <row r="31" spans="1:45" s="7" customFormat="1" x14ac:dyDescent="0.3">
      <c r="A31" s="45"/>
      <c r="J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row>
    <row r="32" spans="1:45" x14ac:dyDescent="0.3">
      <c r="A32" s="5">
        <f>'Chemical Data'!A612</f>
        <v>44964</v>
      </c>
      <c r="B32" t="str">
        <f>'Chemical Data'!B612</f>
        <v>081</v>
      </c>
      <c r="C32" t="str">
        <f>'Chemical Data'!C612</f>
        <v>Dix5P</v>
      </c>
      <c r="D32">
        <f>'Chemical Data'!D612</f>
        <v>0</v>
      </c>
      <c r="E32" t="str">
        <f>'Chemical Data'!E612</f>
        <v xml:space="preserve">pipe discharge into Dix 5 </v>
      </c>
      <c r="H32" t="str">
        <f>'Chemical Data'!H612</f>
        <v>Hedin/ICCD</v>
      </c>
      <c r="J32" s="1">
        <f>'Chemical Data'!J612</f>
        <v>2.88</v>
      </c>
      <c r="K32" t="str">
        <f>'Chemical Data'!K612</f>
        <v>M</v>
      </c>
      <c r="L32" s="2">
        <f>'Chemical Data'!L612</f>
        <v>5.04</v>
      </c>
      <c r="M32" s="2">
        <f>'Chemical Data'!M612</f>
        <v>4.7</v>
      </c>
      <c r="N32" s="1">
        <f>'Chemical Data'!N612</f>
        <v>1869</v>
      </c>
      <c r="O32" s="1">
        <f>'Chemical Data'!O612</f>
        <v>1960</v>
      </c>
      <c r="P32">
        <f>'Chemical Data'!P612</f>
        <v>0</v>
      </c>
      <c r="Q32" s="4">
        <f>'Chemical Data'!Q612</f>
        <v>0</v>
      </c>
      <c r="R32" s="4">
        <f>'Chemical Data'!R612</f>
        <v>0</v>
      </c>
      <c r="S32" s="4">
        <f>'Chemical Data'!S612</f>
        <v>77</v>
      </c>
      <c r="T32" s="4">
        <f>'Chemical Data'!T612</f>
        <v>13.991505419677953</v>
      </c>
      <c r="U32" s="3">
        <f>'Chemical Data'!U612</f>
        <v>0</v>
      </c>
      <c r="V32" s="3">
        <f>'Chemical Data'!V612</f>
        <v>0</v>
      </c>
      <c r="W32" s="3">
        <f>'Chemical Data'!W612</f>
        <v>0.1</v>
      </c>
      <c r="X32" s="3">
        <f>'Chemical Data'!X612</f>
        <v>0.05</v>
      </c>
      <c r="Z32" s="3">
        <f>'Chemical Data'!Z612</f>
        <v>11.6</v>
      </c>
      <c r="AA32" s="3">
        <f>'Chemical Data'!AA612</f>
        <v>7.47</v>
      </c>
      <c r="AB32" s="3">
        <f>'Chemical Data'!AB612</f>
        <v>1253.8599999999999</v>
      </c>
      <c r="AC32" s="3">
        <f>'Chemical Data'!AC612</f>
        <v>212</v>
      </c>
      <c r="AD32" s="3">
        <f>'Chemical Data'!AD612</f>
        <v>119</v>
      </c>
      <c r="AE32" s="3">
        <f>'Chemical Data'!AE612</f>
        <v>75.7</v>
      </c>
      <c r="AF32" s="3">
        <f>'Chemical Data'!AF612</f>
        <v>3.45</v>
      </c>
      <c r="AG32" s="3">
        <f>'Chemical Data'!AG612</f>
        <v>10</v>
      </c>
      <c r="AH32">
        <f>'Chemical Data'!AH612</f>
        <v>0.44</v>
      </c>
      <c r="AI32">
        <f>'Chemical Data'!AI612</f>
        <v>0.73199999999999998</v>
      </c>
      <c r="AJ32" t="str">
        <f>'Chemical Data'!AJ612</f>
        <v>&lt;0.2</v>
      </c>
      <c r="AN32" s="1">
        <f>'Chemical Data'!AN612</f>
        <v>2.6611199999999999</v>
      </c>
      <c r="AO32" s="1">
        <f>'Chemical Data'!AO612</f>
        <v>3.4559999999999999E-3</v>
      </c>
      <c r="AP32" s="1">
        <f>'Chemical Data'!AP612</f>
        <v>0.40089600000000003</v>
      </c>
      <c r="AQ32" s="1">
        <f>'Chemical Data'!AQ612</f>
        <v>0.25816319999999998</v>
      </c>
      <c r="AR32" s="1">
        <f>'Chemical Data'!AR612</f>
        <v>43.333401599999995</v>
      </c>
    </row>
    <row r="34" spans="1:45" x14ac:dyDescent="0.3">
      <c r="A34" s="5">
        <f>'Chemical Data'!A605</f>
        <v>44964</v>
      </c>
      <c r="B34" t="str">
        <f>'Chemical Data'!B605</f>
        <v>056</v>
      </c>
      <c r="C34" t="s">
        <v>249</v>
      </c>
      <c r="D34">
        <f>'Chemical Data'!D605</f>
        <v>0</v>
      </c>
      <c r="E34" t="str">
        <f>'Chemical Data'!E605</f>
        <v>Dixion Run upstream of Mears</v>
      </c>
      <c r="H34" t="str">
        <f>'Chemical Data'!H605</f>
        <v>Hedin/ICCD</v>
      </c>
      <c r="J34" s="1">
        <f>'Chemical Data'!J605</f>
        <v>4346</v>
      </c>
      <c r="K34" t="str">
        <f>'Chemical Data'!K605</f>
        <v>M</v>
      </c>
      <c r="L34" s="2">
        <f>'Chemical Data'!L605</f>
        <v>7.07</v>
      </c>
      <c r="M34" s="2">
        <f>'Chemical Data'!M605</f>
        <v>6.8</v>
      </c>
      <c r="N34" s="1">
        <f>'Chemical Data'!N605</f>
        <v>365</v>
      </c>
      <c r="O34" s="1">
        <f>'Chemical Data'!O605</f>
        <v>381</v>
      </c>
      <c r="P34">
        <f>'Chemical Data'!P605</f>
        <v>0</v>
      </c>
      <c r="Q34" s="4">
        <f>'Chemical Data'!Q605</f>
        <v>57</v>
      </c>
      <c r="R34" s="4">
        <f>'Chemical Data'!R605</f>
        <v>60</v>
      </c>
      <c r="S34" s="4">
        <f>'Chemical Data'!S605</f>
        <v>-55.4</v>
      </c>
      <c r="T34" s="4">
        <f>'Chemical Data'!T605</f>
        <v>-56.139614309808991</v>
      </c>
      <c r="W34" s="3">
        <f>'Chemical Data'!W605</f>
        <v>1.5</v>
      </c>
      <c r="X34" s="3">
        <f>'Chemical Data'!X605</f>
        <v>0.247</v>
      </c>
      <c r="Z34" s="3">
        <f>'Chemical Data'!Z605</f>
        <v>0.49299999999999999</v>
      </c>
      <c r="AA34" s="3">
        <f>'Chemical Data'!AA605</f>
        <v>0.23</v>
      </c>
      <c r="AB34" s="4">
        <f>'Chemical Data'!AB605</f>
        <v>113.51</v>
      </c>
      <c r="AC34" s="3">
        <f>'Chemical Data'!AC605</f>
        <v>47.2</v>
      </c>
      <c r="AD34" s="3">
        <f>'Chemical Data'!AD605</f>
        <v>14.7</v>
      </c>
      <c r="AE34" s="3">
        <f>'Chemical Data'!AE605</f>
        <v>5.98</v>
      </c>
      <c r="AF34" s="3">
        <f>'Chemical Data'!AF605</f>
        <v>1.58</v>
      </c>
      <c r="AG34" s="3">
        <f>'Chemical Data'!AG605</f>
        <v>6.2</v>
      </c>
      <c r="AH34" t="str">
        <f>'Chemical Data'!AH605</f>
        <v>&lt;0.05</v>
      </c>
      <c r="AI34" t="str">
        <f>'Chemical Data'!AI605</f>
        <v>&lt;0.03</v>
      </c>
      <c r="AJ34" t="str">
        <f>'Chemical Data'!AJ605</f>
        <v>&lt;0.2</v>
      </c>
      <c r="AN34" s="1">
        <f>'Chemical Data'!AN605</f>
        <v>-2889.2208000000001</v>
      </c>
      <c r="AO34" s="1">
        <f>'Chemical Data'!AO605</f>
        <v>78.228000000000009</v>
      </c>
      <c r="AP34" s="1">
        <f>'Chemical Data'!AP605</f>
        <v>25.710936</v>
      </c>
      <c r="AQ34" s="1">
        <f>'Chemical Data'!AQ605</f>
        <v>11.994960000000001</v>
      </c>
      <c r="AR34" s="1">
        <f>'Chemical Data'!AR605</f>
        <v>5919.7735200000006</v>
      </c>
      <c r="AS34" s="1">
        <f>'Chemical Data'!AS605</f>
        <v>3129.12</v>
      </c>
    </row>
    <row r="35" spans="1:45" x14ac:dyDescent="0.3">
      <c r="A35" s="5">
        <f>'Chemical Data'!A606</f>
        <v>45022</v>
      </c>
      <c r="B35" t="str">
        <f>'Chemical Data'!B606</f>
        <v>016</v>
      </c>
      <c r="C35" t="str">
        <f>'Chemical Data'!C606</f>
        <v>DixonMid</v>
      </c>
      <c r="D35">
        <f>'Chemical Data'!D606</f>
        <v>0</v>
      </c>
      <c r="E35" t="str">
        <f>'Chemical Data'!E606</f>
        <v>Dixion Run upstream of Mears</v>
      </c>
      <c r="H35" t="str">
        <f>'Chemical Data'!H606</f>
        <v>Hedin/ICCD</v>
      </c>
      <c r="J35" s="1">
        <f>'Chemical Data'!J606</f>
        <v>6650</v>
      </c>
      <c r="K35" t="str">
        <f>'Chemical Data'!K606</f>
        <v>M</v>
      </c>
      <c r="L35" s="2">
        <f>'Chemical Data'!L606</f>
        <v>7.16</v>
      </c>
      <c r="M35" s="2">
        <f>'Chemical Data'!M606</f>
        <v>6.6</v>
      </c>
      <c r="N35" s="1">
        <f>'Chemical Data'!N606</f>
        <v>291</v>
      </c>
      <c r="O35" s="1">
        <f>'Chemical Data'!O606</f>
        <v>319</v>
      </c>
      <c r="P35">
        <f>'Chemical Data'!P606</f>
        <v>0</v>
      </c>
      <c r="Q35" s="4">
        <f>R35</f>
        <v>63</v>
      </c>
      <c r="R35" s="4">
        <f>'Chemical Data'!R606</f>
        <v>63</v>
      </c>
      <c r="S35" s="4">
        <f>'Chemical Data'!S606</f>
        <v>-49</v>
      </c>
      <c r="T35" s="4">
        <f>'Chemical Data'!T606</f>
        <v>-62.472150845145407</v>
      </c>
      <c r="W35" s="3">
        <f>'Chemical Data'!W606</f>
        <v>1.19</v>
      </c>
      <c r="X35" s="3">
        <f>'Chemical Data'!X606</f>
        <v>0.121</v>
      </c>
      <c r="Z35" s="3">
        <f>'Chemical Data'!Z606</f>
        <v>0.47899999999999998</v>
      </c>
      <c r="AA35" s="3">
        <f>'Chemical Data'!AA606</f>
        <v>0.17100000000000001</v>
      </c>
      <c r="AB35" s="4">
        <f>'Chemical Data'!AB606</f>
        <v>93.26</v>
      </c>
      <c r="AC35" s="3">
        <f>'Chemical Data'!AC606</f>
        <v>42.1</v>
      </c>
      <c r="AD35" s="3">
        <f>'Chemical Data'!AD606</f>
        <v>12.8</v>
      </c>
      <c r="AE35" s="3">
        <f>'Chemical Data'!AE606</f>
        <v>5.51</v>
      </c>
      <c r="AF35" s="3">
        <f>'Chemical Data'!AF606</f>
        <v>1.6</v>
      </c>
      <c r="AG35" s="3">
        <f>'Chemical Data'!AG606</f>
        <v>5.7</v>
      </c>
      <c r="AH35" t="str">
        <f>'Chemical Data'!AH606</f>
        <v>&lt;0.05</v>
      </c>
      <c r="AI35" t="str">
        <f>'Chemical Data'!AI606</f>
        <v>&lt;0.03</v>
      </c>
      <c r="AJ35" t="str">
        <f>'Chemical Data'!AJ606</f>
        <v>&lt;0.2</v>
      </c>
      <c r="AN35" s="1">
        <f>'Chemical Data'!AN606</f>
        <v>-3910.2000000000003</v>
      </c>
      <c r="AO35" s="1">
        <f>'Chemical Data'!AO606</f>
        <v>94.962000000000003</v>
      </c>
      <c r="AP35" s="1">
        <f>'Chemical Data'!AP606</f>
        <v>38.224199999999996</v>
      </c>
      <c r="AQ35" s="1">
        <f>'Chemical Data'!AQ606</f>
        <v>13.645800000000001</v>
      </c>
      <c r="AR35" s="1">
        <f>'Chemical Data'!AR606</f>
        <v>7442.1480000000001</v>
      </c>
      <c r="AS35" s="1">
        <f>'Chemical Data'!AS606</f>
        <v>5027.4000000000005</v>
      </c>
    </row>
    <row r="36" spans="1:45" x14ac:dyDescent="0.3">
      <c r="A36" s="5">
        <f>'Chemical Data'!A607</f>
        <v>45098</v>
      </c>
      <c r="B36" t="str">
        <f>'Chemical Data'!B607</f>
        <v>043</v>
      </c>
      <c r="C36" t="str">
        <f>'Chemical Data'!C607</f>
        <v>DixonMid</v>
      </c>
      <c r="D36">
        <f>'Chemical Data'!D607</f>
        <v>0</v>
      </c>
      <c r="E36" t="str">
        <f>'Chemical Data'!E607</f>
        <v>Dixion Run upstream of Mears</v>
      </c>
      <c r="H36" t="str">
        <f>'Chemical Data'!H607</f>
        <v>SFU/ICCD</v>
      </c>
      <c r="J36" s="1">
        <f>'Chemical Data'!J607</f>
        <v>974</v>
      </c>
      <c r="K36" t="str">
        <f>'Chemical Data'!K607</f>
        <v>M</v>
      </c>
      <c r="L36" s="2">
        <f>'Chemical Data'!L607</f>
        <v>7.46</v>
      </c>
      <c r="M36" s="2">
        <f>'Chemical Data'!M616</f>
        <v>6.5</v>
      </c>
      <c r="N36" s="1">
        <f>'Chemical Data'!N607</f>
        <v>505</v>
      </c>
      <c r="O36" s="1">
        <f>'Chemical Data'!O616</f>
        <v>454</v>
      </c>
      <c r="P36">
        <f>'Chemical Data'!P607</f>
        <v>0</v>
      </c>
      <c r="Q36" s="4">
        <f>R36</f>
        <v>90</v>
      </c>
      <c r="R36" s="4">
        <f>'Chemical Data'!R607</f>
        <v>90</v>
      </c>
      <c r="S36" s="4">
        <f>'Chemical Data'!S607</f>
        <v>-77</v>
      </c>
      <c r="T36" s="4">
        <f>'Chemical Data'!T607</f>
        <v>-89.282366315747737</v>
      </c>
      <c r="W36" s="3">
        <f>'Chemical Data'!W607</f>
        <v>0.46600000000000003</v>
      </c>
      <c r="X36" s="3">
        <f>'Chemical Data'!X607</f>
        <v>0.05</v>
      </c>
      <c r="Z36" s="3">
        <f>'Chemical Data'!Z607</f>
        <v>0.3</v>
      </c>
      <c r="AA36" s="3">
        <f>'Chemical Data'!AA607</f>
        <v>0.34799999999999998</v>
      </c>
      <c r="AB36" s="4">
        <f>'Chemical Data'!AB607</f>
        <v>147.58000000000001</v>
      </c>
      <c r="AC36" s="3">
        <f>'Chemical Data'!AC607</f>
        <v>60.31</v>
      </c>
      <c r="AD36" s="3">
        <f>'Chemical Data'!AD607</f>
        <v>18.23</v>
      </c>
      <c r="AE36" s="3">
        <f>'Chemical Data'!AE607</f>
        <v>12.59</v>
      </c>
      <c r="AF36" s="3">
        <f>'Chemical Data'!AF607</f>
        <v>2.06</v>
      </c>
      <c r="AG36" s="3">
        <f>'Chemical Data'!AG607</f>
        <v>14.5</v>
      </c>
      <c r="AH36">
        <f>'Chemical Data'!AH607</f>
        <v>0.05</v>
      </c>
      <c r="AI36">
        <f>'Chemical Data'!AI607</f>
        <v>0.03</v>
      </c>
      <c r="AJ36">
        <f>'Chemical Data'!AJ607</f>
        <v>0.2</v>
      </c>
      <c r="AN36" s="1">
        <f>'Chemical Data'!AN607</f>
        <v>-899.976</v>
      </c>
      <c r="AO36" s="1">
        <f>'Chemical Data'!AO607</f>
        <v>5.4466080000000003</v>
      </c>
      <c r="AP36" s="1">
        <f>'Chemical Data'!AP607</f>
        <v>3.5063999999999997</v>
      </c>
      <c r="AQ36" s="1">
        <f>'Chemical Data'!AQ607</f>
        <v>4.0674239999999999</v>
      </c>
      <c r="AR36" s="1">
        <f>'Chemical Data'!AR607</f>
        <v>1724.9150400000001</v>
      </c>
      <c r="AS36" s="1">
        <f>'Chemical Data'!AS607</f>
        <v>1051.92</v>
      </c>
    </row>
    <row r="37" spans="1:45" x14ac:dyDescent="0.3">
      <c r="A37" s="5">
        <v>45169</v>
      </c>
      <c r="B37" t="str">
        <f>'Chemical Data'!B608</f>
        <v>027</v>
      </c>
      <c r="C37" t="str">
        <f>'Chemical Data'!C608</f>
        <v>DixonMid</v>
      </c>
      <c r="D37">
        <f>'Chemical Data'!D608</f>
        <v>0</v>
      </c>
      <c r="E37" t="str">
        <f>'Chemical Data'!E608</f>
        <v>Dixon Run upstream of Rosebud</v>
      </c>
      <c r="H37" t="str">
        <f>'Chemical Data'!H608</f>
        <v>Hedin</v>
      </c>
      <c r="J37" s="1">
        <f>'Chemical Data'!J608</f>
        <v>4063.4500000000003</v>
      </c>
      <c r="K37" t="str">
        <f>'Chemical Data'!K608</f>
        <v>M</v>
      </c>
      <c r="L37" s="2">
        <f>'Chemical Data'!L608</f>
        <v>6.29</v>
      </c>
      <c r="M37" s="2">
        <f>'Chemical Data'!M617</f>
        <v>6.6</v>
      </c>
      <c r="N37" s="1">
        <f>'Chemical Data'!N608</f>
        <v>410</v>
      </c>
      <c r="O37" s="1">
        <f>'Chemical Data'!O608</f>
        <v>422</v>
      </c>
      <c r="P37" s="3">
        <f>'Chemical Data'!P608</f>
        <v>17.399999999999999</v>
      </c>
      <c r="Q37" s="4">
        <f>'Chemical Data'!Q608</f>
        <v>63</v>
      </c>
      <c r="R37" s="4">
        <f>'Chemical Data'!R608</f>
        <v>62.4</v>
      </c>
      <c r="S37" s="4">
        <f>'Chemical Data'!S608</f>
        <v>-53.2</v>
      </c>
      <c r="T37" s="4">
        <f>'Chemical Data'!T608</f>
        <v>-61.392586930800434</v>
      </c>
      <c r="W37" s="3">
        <f>'Chemical Data'!W608</f>
        <v>2.33</v>
      </c>
      <c r="X37" s="3">
        <f>'Chemical Data'!X608</f>
        <v>0.223</v>
      </c>
      <c r="Z37" s="3">
        <f>'Chemical Data'!Z608</f>
        <v>1.58</v>
      </c>
      <c r="AA37" s="3">
        <f>'Chemical Data'!AA608</f>
        <v>0.65700000000000003</v>
      </c>
      <c r="AB37" s="4">
        <f>'Chemical Data'!AB608</f>
        <v>138.47999999999999</v>
      </c>
      <c r="AC37" s="3">
        <f>'Chemical Data'!AC608</f>
        <v>51.3</v>
      </c>
      <c r="AD37" s="3">
        <f>'Chemical Data'!AD608</f>
        <v>16.5</v>
      </c>
      <c r="AE37" s="3">
        <f>'Chemical Data'!AE608</f>
        <v>8</v>
      </c>
      <c r="AF37" s="3">
        <f>'Chemical Data'!AF608</f>
        <v>1.85</v>
      </c>
      <c r="AG37" s="3">
        <f>'Chemical Data'!AG608</f>
        <v>5.4</v>
      </c>
      <c r="AH37">
        <f>'Chemical Data'!AH608</f>
        <v>0.05</v>
      </c>
      <c r="AI37">
        <f>'Chemical Data'!AI608</f>
        <v>3.2000000000000001E-2</v>
      </c>
      <c r="AJ37">
        <f>'Chemical Data'!AJ608</f>
        <v>0.2</v>
      </c>
      <c r="AN37" s="1">
        <f>'Chemical Data'!AN608</f>
        <v>-2594.1064800000004</v>
      </c>
      <c r="AO37" s="1">
        <f>'Chemical Data'!AO608</f>
        <v>113.61406200000002</v>
      </c>
      <c r="AP37" s="1">
        <f>'Chemical Data'!AP608</f>
        <v>77.043012000000019</v>
      </c>
      <c r="AQ37" s="1">
        <f>'Chemical Data'!AQ608</f>
        <v>32.036239800000004</v>
      </c>
      <c r="AR37" s="1">
        <f>'Chemical Data'!AR608</f>
        <v>6752.4786720000002</v>
      </c>
      <c r="AS37" s="1">
        <f>'Chemical Data'!AS608</f>
        <v>3042.7113600000002</v>
      </c>
    </row>
    <row r="38" spans="1:45" x14ac:dyDescent="0.3">
      <c r="A38" s="5">
        <f>'Chemical Data'!A609</f>
        <v>45366</v>
      </c>
      <c r="B38" t="str">
        <f>'Chemical Data'!B609</f>
        <v>010</v>
      </c>
      <c r="C38" t="str">
        <f>'Chemical Data'!C609</f>
        <v>DixonMid</v>
      </c>
      <c r="D38">
        <f>'Chemical Data'!D609</f>
        <v>0</v>
      </c>
      <c r="E38" t="str">
        <f>'Chemical Data'!E609</f>
        <v>Dixon Run upstream of Rosebud</v>
      </c>
      <c r="H38" t="str">
        <f>'Chemical Data'!H609</f>
        <v>Hedin/ICCD</v>
      </c>
      <c r="J38" s="1">
        <f>'Chemical Data'!J609</f>
        <v>11804.21</v>
      </c>
      <c r="K38" t="str">
        <f>'Chemical Data'!K609</f>
        <v>M</v>
      </c>
      <c r="L38" s="2">
        <f>'Chemical Data'!L609</f>
        <v>5.43</v>
      </c>
      <c r="N38" s="1">
        <f>'Chemical Data'!N609</f>
        <v>810</v>
      </c>
      <c r="P38" s="3">
        <f>'Chemical Data'!P609</f>
        <v>10.5</v>
      </c>
      <c r="R38" s="4">
        <f>'Chemical Data'!R609</f>
        <v>45.8</v>
      </c>
      <c r="S38" s="4">
        <f>'Chemical Data'!S609</f>
        <v>-21.4</v>
      </c>
      <c r="T38" s="4">
        <f>'Chemical Data'!T609</f>
        <v>-44.207482385451414</v>
      </c>
      <c r="W38" s="3">
        <f>'Chemical Data'!W609</f>
        <v>1.2909999999999999</v>
      </c>
      <c r="X38" s="3">
        <f>'Chemical Data'!X609</f>
        <v>0.26500000000000001</v>
      </c>
      <c r="Z38" s="3">
        <f>'Chemical Data'!Z609</f>
        <v>1.2909999999999999</v>
      </c>
      <c r="AA38" s="3">
        <f>'Chemical Data'!AA609</f>
        <v>0.51800000000000002</v>
      </c>
      <c r="AB38" s="4">
        <f>'Chemical Data'!AB609</f>
        <v>412.4</v>
      </c>
      <c r="AN38" s="1">
        <f>'Chemical Data'!AN609</f>
        <v>-3031.3211279999996</v>
      </c>
      <c r="AO38" s="1">
        <f>'Chemical Data'!AO609</f>
        <v>182.87082131999998</v>
      </c>
      <c r="AP38" s="1">
        <f>'Chemical Data'!AP609</f>
        <v>182.87082131999998</v>
      </c>
      <c r="AQ38" s="1">
        <f>'Chemical Data'!AQ609</f>
        <v>73.374969359999994</v>
      </c>
      <c r="AR38" s="1">
        <f>'Chemical Data'!AR609</f>
        <v>58416.674447999991</v>
      </c>
      <c r="AS38" s="1">
        <f>'Chemical Data'!AS609</f>
        <v>6487.5938159999996</v>
      </c>
    </row>
    <row r="39" spans="1:45" x14ac:dyDescent="0.3">
      <c r="A39" s="5">
        <f>'Chemical Data'!A610</f>
        <v>45527</v>
      </c>
      <c r="B39" t="str">
        <f>'Chemical Data'!B610</f>
        <v>010</v>
      </c>
      <c r="C39" t="str">
        <f>'Chemical Data'!C610</f>
        <v>DixonMid</v>
      </c>
      <c r="D39">
        <f>'Chemical Data'!D610</f>
        <v>0</v>
      </c>
      <c r="E39" t="str">
        <f>'Chemical Data'!E610</f>
        <v>Dixon Run upstream of Rosebud</v>
      </c>
      <c r="H39" t="str">
        <f>'Chemical Data'!H610</f>
        <v>Hedin</v>
      </c>
      <c r="J39" s="1">
        <f>'Chemical Data'!J610</f>
        <v>2316.84</v>
      </c>
      <c r="K39" t="str">
        <f>'Chemical Data'!K610</f>
        <v>M</v>
      </c>
      <c r="L39" s="2">
        <f>'Chemical Data'!L610</f>
        <v>7.55</v>
      </c>
      <c r="M39" s="2">
        <f>'Chemical Data'!M610</f>
        <v>7.2</v>
      </c>
      <c r="N39" s="4">
        <f>'Chemical Data'!N610</f>
        <v>434</v>
      </c>
      <c r="O39" s="4"/>
      <c r="P39" s="3">
        <f>'Chemical Data'!P610</f>
        <v>17.5</v>
      </c>
      <c r="Q39" s="4">
        <f>'Chemical Data'!Q610</f>
        <v>153</v>
      </c>
      <c r="R39" s="4">
        <f>'Chemical Data'!R610</f>
        <v>79.8</v>
      </c>
      <c r="S39" s="4">
        <f>'Chemical Data'!S610</f>
        <v>-67.2</v>
      </c>
      <c r="T39" s="4">
        <f>'Chemical Data'!T610</f>
        <v>-79.11413080853437</v>
      </c>
      <c r="U39" s="2"/>
      <c r="V39" s="2"/>
      <c r="W39" s="3">
        <f>'Chemical Data'!W610</f>
        <v>0.94399999999999995</v>
      </c>
      <c r="X39" s="3">
        <f>'Chemical Data'!X610</f>
        <v>0.13400000000000001</v>
      </c>
      <c r="Z39" s="3">
        <f>'Chemical Data'!Z610</f>
        <v>0.5</v>
      </c>
      <c r="AA39" s="3">
        <f>'Chemical Data'!AA610</f>
        <v>0.247</v>
      </c>
      <c r="AB39" s="4">
        <f>'Chemical Data'!AB610</f>
        <v>133.6</v>
      </c>
      <c r="AC39" s="2"/>
      <c r="AD39" s="2"/>
      <c r="AE39" s="2"/>
      <c r="AF39" s="2"/>
      <c r="AG39" s="2"/>
      <c r="AH39" s="2"/>
      <c r="AI39" s="2"/>
      <c r="AJ39" s="2"/>
      <c r="AK39" s="2" t="str">
        <f>'Chemical Data'!AK610</f>
        <v>&lt;20</v>
      </c>
      <c r="AL39" s="2">
        <f>'Chemical Data'!AL610</f>
        <v>276</v>
      </c>
      <c r="AM39" s="2"/>
      <c r="AN39" s="4">
        <f>'Chemical Data'!AN610</f>
        <v>-1868.2997760000003</v>
      </c>
      <c r="AO39" s="4">
        <f>'Chemical Data'!AO610</f>
        <v>26.245163519999998</v>
      </c>
      <c r="AP39" s="4">
        <f>'Chemical Data'!AP610</f>
        <v>13.901040000000002</v>
      </c>
      <c r="AQ39" s="4">
        <f>'Chemical Data'!AQ610</f>
        <v>6.8671137600000005</v>
      </c>
      <c r="AR39" s="4">
        <f>'Chemical Data'!AR610</f>
        <v>3714.3578880000005</v>
      </c>
      <c r="AS39" s="4">
        <f>'Chemical Data'!AS610</f>
        <v>2218.6059839999998</v>
      </c>
    </row>
    <row r="40" spans="1:45" s="7" customFormat="1" x14ac:dyDescent="0.3">
      <c r="A40" s="45" t="s">
        <v>144</v>
      </c>
      <c r="J40" s="20">
        <f>AVERAGE(J34:J39)</f>
        <v>5025.75</v>
      </c>
      <c r="K40" s="20"/>
      <c r="L40" s="20">
        <f>AVERAGE(L34:L39)</f>
        <v>6.8266666666666653</v>
      </c>
      <c r="M40" s="20">
        <f>AVERAGE(M34:M39)</f>
        <v>6.74</v>
      </c>
      <c r="N40" s="20">
        <f t="shared" ref="N40:AS40" si="7">AVERAGE(N34:N39)</f>
        <v>469.16666666666669</v>
      </c>
      <c r="O40" s="20">
        <f t="shared" si="7"/>
        <v>394</v>
      </c>
      <c r="P40" s="20">
        <f t="shared" si="7"/>
        <v>7.5666666666666664</v>
      </c>
      <c r="Q40" s="20">
        <f t="shared" si="7"/>
        <v>85.2</v>
      </c>
      <c r="R40" s="20">
        <f t="shared" si="7"/>
        <v>66.833333333333329</v>
      </c>
      <c r="S40" s="20">
        <f t="shared" si="7"/>
        <v>-53.866666666666667</v>
      </c>
      <c r="T40" s="20">
        <f t="shared" si="7"/>
        <v>-65.434721932581382</v>
      </c>
      <c r="U40" s="20" t="e">
        <f t="shared" si="7"/>
        <v>#DIV/0!</v>
      </c>
      <c r="V40" s="20" t="e">
        <f t="shared" si="7"/>
        <v>#DIV/0!</v>
      </c>
      <c r="W40" s="20">
        <f t="shared" si="7"/>
        <v>1.2868333333333335</v>
      </c>
      <c r="X40" s="20">
        <f t="shared" si="7"/>
        <v>0.17333333333333334</v>
      </c>
      <c r="Y40" s="20"/>
      <c r="Z40" s="20">
        <f t="shared" si="7"/>
        <v>0.77383333333333348</v>
      </c>
      <c r="AA40" s="20">
        <f t="shared" si="7"/>
        <v>0.3618333333333334</v>
      </c>
      <c r="AB40" s="20">
        <f t="shared" si="7"/>
        <v>173.13833333333332</v>
      </c>
      <c r="AC40" s="20">
        <f t="shared" si="7"/>
        <v>50.227500000000006</v>
      </c>
      <c r="AD40" s="20">
        <f t="shared" si="7"/>
        <v>15.557500000000001</v>
      </c>
      <c r="AE40" s="20">
        <f t="shared" si="7"/>
        <v>8.02</v>
      </c>
      <c r="AF40" s="20">
        <f t="shared" si="7"/>
        <v>1.7725</v>
      </c>
      <c r="AG40" s="20">
        <f t="shared" si="7"/>
        <v>7.9499999999999993</v>
      </c>
      <c r="AH40" s="20">
        <f t="shared" si="7"/>
        <v>0.05</v>
      </c>
      <c r="AI40" s="20">
        <f t="shared" si="7"/>
        <v>3.1E-2</v>
      </c>
      <c r="AJ40" s="20">
        <f t="shared" si="7"/>
        <v>0.2</v>
      </c>
      <c r="AK40" s="20"/>
      <c r="AL40" s="20"/>
      <c r="AM40" s="20"/>
      <c r="AN40" s="20">
        <f t="shared" si="7"/>
        <v>-2532.1873639999999</v>
      </c>
      <c r="AO40" s="20">
        <f t="shared" si="7"/>
        <v>83.561109139999999</v>
      </c>
      <c r="AP40" s="20">
        <f t="shared" si="7"/>
        <v>56.876068220000008</v>
      </c>
      <c r="AQ40" s="20">
        <f t="shared" si="7"/>
        <v>23.664417820000001</v>
      </c>
      <c r="AR40" s="20">
        <f t="shared" si="7"/>
        <v>13995.057928</v>
      </c>
      <c r="AS40" s="20">
        <f t="shared" si="7"/>
        <v>3492.8918599999997</v>
      </c>
    </row>
    <row r="42" spans="1:45" x14ac:dyDescent="0.3">
      <c r="A42" s="5">
        <f>'Chemical Data'!A587</f>
        <v>44964</v>
      </c>
      <c r="B42" t="str">
        <f>'Chemical Data'!B587</f>
        <v>055</v>
      </c>
      <c r="C42" t="s">
        <v>247</v>
      </c>
      <c r="E42" t="str">
        <f>'Chemical Data'!E587</f>
        <v xml:space="preserve">Discharge near Mears Complex </v>
      </c>
      <c r="H42" t="str">
        <f>'Chemical Data'!H587</f>
        <v>Hedin/ICCD</v>
      </c>
      <c r="J42" s="4">
        <f>IF(ISNUMBER('Chemical Data'!J587),'Chemical Data'!J587,"")</f>
        <v>210.5</v>
      </c>
      <c r="K42" t="str">
        <f>'Chemical Data'!K587</f>
        <v>M</v>
      </c>
      <c r="L42" s="2">
        <f>IF(ISNUMBER('Chemical Data'!L587),'Chemical Data'!L587,"")</f>
        <v>3.4</v>
      </c>
      <c r="M42" s="2">
        <f>IF(ISNUMBER('Chemical Data'!M587),'Chemical Data'!M587,"")</f>
        <v>3.1</v>
      </c>
      <c r="N42" s="4">
        <f>IF(ISNUMBER('Chemical Data'!N587),'Chemical Data'!N587,"")</f>
        <v>1770</v>
      </c>
      <c r="O42" s="4">
        <f>IF(ISNUMBER('Chemical Data'!O587),'Chemical Data'!O587,"")</f>
        <v>1799</v>
      </c>
      <c r="P42" s="4" t="str">
        <f>IF(ISNUMBER('Chemical Data'!P587),'Chemical Data'!P587,"")</f>
        <v/>
      </c>
      <c r="Q42" s="4">
        <f>IF(ISNUMBER('Chemical Data'!Q587),'Chemical Data'!Q587,"")</f>
        <v>0</v>
      </c>
      <c r="R42" s="4">
        <f>IF(ISNUMBER('Chemical Data'!R587),'Chemical Data'!R587,"")</f>
        <v>0</v>
      </c>
      <c r="S42" s="4">
        <f>IF(ISNUMBER('Chemical Data'!S587),'Chemical Data'!S587,"")</f>
        <v>273.60000000000002</v>
      </c>
      <c r="T42" s="4">
        <f>IF(ISNUMBER('Chemical Data'!T587),'Chemical Data'!T587,"")</f>
        <v>227.97180852767482</v>
      </c>
      <c r="U42" s="4" t="str">
        <f>IF(ISNUMBER('Chemical Data'!U587),'Chemical Data'!U587,"")</f>
        <v/>
      </c>
      <c r="V42" s="4" t="str">
        <f>IF(ISNUMBER('Chemical Data'!V587),'Chemical Data'!V587,"")</f>
        <v/>
      </c>
      <c r="W42" s="4">
        <f>IF(ISNUMBER('Chemical Data'!W587),'Chemical Data'!W587,"")</f>
        <v>25.9</v>
      </c>
      <c r="X42" s="4">
        <f>IF(ISNUMBER('Chemical Data'!X587),'Chemical Data'!X587,"")</f>
        <v>5.0149999999999997</v>
      </c>
      <c r="Y42" s="4"/>
      <c r="Z42" s="4">
        <f>IF(ISNUMBER('Chemical Data'!Z587),'Chemical Data'!Z587,"")</f>
        <v>24.5</v>
      </c>
      <c r="AA42" s="4">
        <f>IF(ISNUMBER('Chemical Data'!AA587),'Chemical Data'!AA587,"")</f>
        <v>3.79</v>
      </c>
      <c r="AB42" s="4">
        <f>IF(ISNUMBER('Chemical Data'!AB587),'Chemical Data'!AB587,"")</f>
        <v>1094.99</v>
      </c>
      <c r="AC42" s="4">
        <f>IF(ISNUMBER('Chemical Data'!AC587),'Chemical Data'!AC587,"")</f>
        <v>171</v>
      </c>
      <c r="AD42" s="4">
        <f>IF(ISNUMBER('Chemical Data'!AD587),'Chemical Data'!AD587,"")</f>
        <v>65.7</v>
      </c>
      <c r="AE42" s="4">
        <f>IF(ISNUMBER('Chemical Data'!AE587),'Chemical Data'!AE587,"")</f>
        <v>46.7</v>
      </c>
      <c r="AF42" s="4">
        <f>IF(ISNUMBER('Chemical Data'!AF587),'Chemical Data'!AF587,"")</f>
        <v>3.2</v>
      </c>
      <c r="AG42" s="4">
        <f>IF(ISNUMBER('Chemical Data'!AG587),'Chemical Data'!AG587,"")</f>
        <v>9.3000000000000007</v>
      </c>
      <c r="AH42" s="4">
        <f>IF(ISNUMBER('Chemical Data'!AH587),'Chemical Data'!AH587,"")</f>
        <v>0.22600000000000001</v>
      </c>
      <c r="AI42" s="4">
        <f>IF(ISNUMBER('Chemical Data'!AI587),'Chemical Data'!AI587,"")</f>
        <v>0.44</v>
      </c>
      <c r="AJ42" s="4" t="str">
        <f>IF(ISNUMBER('Chemical Data'!AJ587),'Chemical Data'!AJ587,"")</f>
        <v/>
      </c>
      <c r="AK42" s="4" t="str">
        <f>IF(ISNUMBER('Chemical Data'!AK587),'Chemical Data'!AK587,"")</f>
        <v/>
      </c>
      <c r="AL42" s="4" t="str">
        <f>IF(ISNUMBER('Chemical Data'!AL587),'Chemical Data'!AL587,"")</f>
        <v/>
      </c>
      <c r="AM42" s="4" t="str">
        <f>IF(ISNUMBER('Chemical Data'!AM587),'Chemical Data'!AM587,"")</f>
        <v/>
      </c>
      <c r="AN42" s="4">
        <f>IF(ISNUMBER('Chemical Data'!AN587),'Chemical Data'!AN587,"")</f>
        <v>691.11360000000002</v>
      </c>
      <c r="AO42" s="4">
        <f>IF(ISNUMBER('Chemical Data'!AO587),'Chemical Data'!AO587,"")</f>
        <v>65.423400000000001</v>
      </c>
      <c r="AP42" s="4">
        <f>IF(ISNUMBER('Chemical Data'!AP587),'Chemical Data'!AP587,"")</f>
        <v>61.887</v>
      </c>
      <c r="AQ42" s="4">
        <f>IF(ISNUMBER('Chemical Data'!AQ587),'Chemical Data'!AQ587,"")</f>
        <v>9.5735399999999995</v>
      </c>
      <c r="AR42" s="4">
        <f>IF(ISNUMBER('Chemical Data'!AR587),'Chemical Data'!AR587,"")</f>
        <v>2765.9447399999999</v>
      </c>
      <c r="AS42" s="4">
        <f>IF(ISNUMBER('Chemical Data'!AS587),'Chemical Data'!AS587,"")</f>
        <v>0</v>
      </c>
    </row>
    <row r="43" spans="1:45" x14ac:dyDescent="0.3">
      <c r="A43" s="5">
        <f>'Chemical Data'!A588</f>
        <v>45022</v>
      </c>
      <c r="B43" t="str">
        <f>'Chemical Data'!B588</f>
        <v>015</v>
      </c>
      <c r="C43" t="str">
        <f>'Chemical Data'!C588</f>
        <v>DixonAMD2</v>
      </c>
      <c r="E43" t="str">
        <f>'Chemical Data'!E588</f>
        <v xml:space="preserve">Discharge near Mears Complex </v>
      </c>
      <c r="H43" t="str">
        <f>'Chemical Data'!H588</f>
        <v>Hedin/ICCD</v>
      </c>
      <c r="J43" s="4">
        <f>IF(ISNUMBER('Chemical Data'!J588),'Chemical Data'!J588,"")</f>
        <v>222.255</v>
      </c>
      <c r="K43" t="str">
        <f>'Chemical Data'!K588</f>
        <v>M</v>
      </c>
      <c r="L43" s="2">
        <f>IF(ISNUMBER('Chemical Data'!L588),'Chemical Data'!L588,"")</f>
        <v>3.02</v>
      </c>
      <c r="M43" s="2">
        <f>IF(ISNUMBER('Chemical Data'!M588),'Chemical Data'!M588,"")</f>
        <v>3</v>
      </c>
      <c r="N43" s="4">
        <f>IF(ISNUMBER('Chemical Data'!N588),'Chemical Data'!N588,"")</f>
        <v>1920</v>
      </c>
      <c r="O43" s="4">
        <f>IF(ISNUMBER('Chemical Data'!O588),'Chemical Data'!O588,"")</f>
        <v>2000</v>
      </c>
      <c r="P43" s="4" t="str">
        <f>IF(ISNUMBER('Chemical Data'!P588),'Chemical Data'!P588,"")</f>
        <v/>
      </c>
      <c r="Q43" s="4">
        <f>IF(ISNUMBER('Chemical Data'!Q588),'Chemical Data'!Q588,"")</f>
        <v>0</v>
      </c>
      <c r="R43" s="4">
        <f>IF(ISNUMBER('Chemical Data'!R588),'Chemical Data'!R588,"")</f>
        <v>0</v>
      </c>
      <c r="S43" s="4">
        <f>IF(ISNUMBER('Chemical Data'!S588),'Chemical Data'!S588,"")</f>
        <v>344.2</v>
      </c>
      <c r="T43" s="4">
        <f>IF(ISNUMBER('Chemical Data'!T588),'Chemical Data'!T588,"")</f>
        <v>315.12199930107175</v>
      </c>
      <c r="U43" s="4" t="str">
        <f>IF(ISNUMBER('Chemical Data'!U588),'Chemical Data'!U588,"")</f>
        <v/>
      </c>
      <c r="V43" s="4" t="str">
        <f>IF(ISNUMBER('Chemical Data'!V588),'Chemical Data'!V588,"")</f>
        <v/>
      </c>
      <c r="W43" s="4">
        <f>IF(ISNUMBER('Chemical Data'!W588),'Chemical Data'!W588,"")</f>
        <v>37.700000000000003</v>
      </c>
      <c r="X43" s="4">
        <f>IF(ISNUMBER('Chemical Data'!X588),'Chemical Data'!X588,"")</f>
        <v>11.035</v>
      </c>
      <c r="Y43" s="4"/>
      <c r="Z43" s="4">
        <f>IF(ISNUMBER('Chemical Data'!Z588),'Chemical Data'!Z588,"")</f>
        <v>30.1</v>
      </c>
      <c r="AA43" s="4">
        <f>IF(ISNUMBER('Chemical Data'!AA588),'Chemical Data'!AA588,"")</f>
        <v>4.8360000000000003</v>
      </c>
      <c r="AB43" s="4">
        <f>IF(ISNUMBER('Chemical Data'!AB588),'Chemical Data'!AB588,"")</f>
        <v>1214.19</v>
      </c>
      <c r="AC43" s="4">
        <f>IF(ISNUMBER('Chemical Data'!AC588),'Chemical Data'!AC588,"")</f>
        <v>198</v>
      </c>
      <c r="AD43" s="4">
        <f>IF(ISNUMBER('Chemical Data'!AD588),'Chemical Data'!AD588,"")</f>
        <v>77.2</v>
      </c>
      <c r="AE43" s="4">
        <f>IF(ISNUMBER('Chemical Data'!AE588),'Chemical Data'!AE588,"")</f>
        <v>53.4</v>
      </c>
      <c r="AF43" s="4">
        <f>IF(ISNUMBER('Chemical Data'!AF588),'Chemical Data'!AF588,"")</f>
        <v>3.55</v>
      </c>
      <c r="AG43" s="4">
        <f>IF(ISNUMBER('Chemical Data'!AG588),'Chemical Data'!AG588,"")</f>
        <v>6.5</v>
      </c>
      <c r="AH43" s="4">
        <f>IF(ISNUMBER('Chemical Data'!AH588),'Chemical Data'!AH588,"")</f>
        <v>0.27400000000000002</v>
      </c>
      <c r="AI43" s="4">
        <f>IF(ISNUMBER('Chemical Data'!AI588),'Chemical Data'!AI588,"")</f>
        <v>0.58199999999999996</v>
      </c>
      <c r="AJ43" s="4" t="str">
        <f>IF(ISNUMBER('Chemical Data'!AJ588),'Chemical Data'!AJ588,"")</f>
        <v/>
      </c>
      <c r="AK43" s="4" t="str">
        <f>IF(ISNUMBER('Chemical Data'!AK588),'Chemical Data'!AK588,"")</f>
        <v/>
      </c>
      <c r="AL43" s="4" t="str">
        <f>IF(ISNUMBER('Chemical Data'!AL588),'Chemical Data'!AL588,"")</f>
        <v/>
      </c>
      <c r="AM43" s="4" t="str">
        <f>IF(ISNUMBER('Chemical Data'!AM588),'Chemical Data'!AM588,"")</f>
        <v/>
      </c>
      <c r="AN43" s="4">
        <f>IF(ISNUMBER('Chemical Data'!AN588),'Chemical Data'!AN588,"")</f>
        <v>918.00205200000005</v>
      </c>
      <c r="AO43" s="4">
        <f>IF(ISNUMBER('Chemical Data'!AO588),'Chemical Data'!AO588,"")</f>
        <v>100.54816200000002</v>
      </c>
      <c r="AP43" s="4">
        <f>IF(ISNUMBER('Chemical Data'!AP588),'Chemical Data'!AP588,"")</f>
        <v>80.278506000000007</v>
      </c>
      <c r="AQ43" s="4">
        <f>IF(ISNUMBER('Chemical Data'!AQ588),'Chemical Data'!AQ588,"")</f>
        <v>12.897902160000001</v>
      </c>
      <c r="AR43" s="4">
        <f>IF(ISNUMBER('Chemical Data'!AR588),'Chemical Data'!AR588,"")</f>
        <v>3238.3175814000001</v>
      </c>
      <c r="AS43" s="4">
        <f>IF(ISNUMBER('Chemical Data'!AS588),'Chemical Data'!AS588,"")</f>
        <v>0</v>
      </c>
    </row>
    <row r="44" spans="1:45" x14ac:dyDescent="0.3">
      <c r="A44" s="5">
        <f>'Chemical Data'!A589</f>
        <v>45098</v>
      </c>
      <c r="C44" t="str">
        <f>'Chemical Data'!C589</f>
        <v>DixonAMD2</v>
      </c>
      <c r="E44" t="str">
        <f>'Chemical Data'!E589</f>
        <v xml:space="preserve">Discharge near Mears Complex </v>
      </c>
      <c r="J44" s="4">
        <f>IF(ISNUMBER('Chemical Data'!J589),'Chemical Data'!J589,"")</f>
        <v>21.98</v>
      </c>
      <c r="K44" s="4"/>
      <c r="L44" s="4"/>
      <c r="M44" s="4"/>
      <c r="N44" s="4"/>
      <c r="O44" s="4"/>
      <c r="P44" s="4"/>
      <c r="U44" s="4"/>
      <c r="V44" s="4"/>
      <c r="W44" s="4"/>
      <c r="X44" s="4"/>
      <c r="Y44" s="4"/>
      <c r="Z44" s="4"/>
      <c r="AA44" s="4"/>
      <c r="AB44" s="4"/>
      <c r="AC44" s="4"/>
      <c r="AD44" s="4"/>
      <c r="AE44" s="4"/>
      <c r="AF44" s="4"/>
      <c r="AG44" s="4"/>
      <c r="AH44" s="4"/>
      <c r="AI44" s="4"/>
      <c r="AJ44" s="4"/>
      <c r="AK44" s="4"/>
      <c r="AL44" s="4"/>
      <c r="AM44" s="4"/>
      <c r="AN44" s="4"/>
      <c r="AO44" s="4"/>
      <c r="AP44" s="4"/>
      <c r="AQ44" s="4"/>
      <c r="AR44" s="4"/>
      <c r="AS44" s="4"/>
    </row>
    <row r="45" spans="1:45" x14ac:dyDescent="0.3">
      <c r="A45" s="5">
        <v>45169</v>
      </c>
      <c r="B45" t="str">
        <f>'Chemical Data'!B590</f>
        <v>026</v>
      </c>
      <c r="C45" t="str">
        <f>'Chemical Data'!C590</f>
        <v>DixonAMD2</v>
      </c>
      <c r="E45" t="s">
        <v>231</v>
      </c>
      <c r="H45" t="str">
        <f>'Chemical Data'!H590</f>
        <v>Hedin</v>
      </c>
      <c r="J45" s="4">
        <f>IF(ISNUMBER('Chemical Data'!J590),'Chemical Data'!J590,"")</f>
        <v>162.27499999999998</v>
      </c>
      <c r="K45" s="4" t="s">
        <v>96</v>
      </c>
      <c r="L45" s="2">
        <f>IF(ISNUMBER('Chemical Data'!L590),'Chemical Data'!L590,"")</f>
        <v>2.37</v>
      </c>
      <c r="M45" s="2">
        <f>IF(ISNUMBER('Chemical Data'!M590),'Chemical Data'!M590,"")</f>
        <v>3</v>
      </c>
      <c r="N45" s="4">
        <f>IF(ISNUMBER('Chemical Data'!N590),'Chemical Data'!N590,"")</f>
        <v>2219</v>
      </c>
      <c r="O45" s="4">
        <f>IF(ISNUMBER('Chemical Data'!O590),'Chemical Data'!O590,"")</f>
        <v>2180</v>
      </c>
      <c r="P45" s="4">
        <f>IF(ISNUMBER('Chemical Data'!P590),'Chemical Data'!P590,"")</f>
        <v>13.1</v>
      </c>
      <c r="Q45" s="4">
        <f>IF(ISNUMBER('Chemical Data'!Q590),'Chemical Data'!Q590,"")</f>
        <v>0</v>
      </c>
      <c r="R45" s="4">
        <f>IF(ISNUMBER('Chemical Data'!R590),'Chemical Data'!R590,"")</f>
        <v>0</v>
      </c>
      <c r="S45" s="4">
        <f>IF(ISNUMBER('Chemical Data'!S590),'Chemical Data'!S590,"")</f>
        <v>331.8</v>
      </c>
      <c r="T45" s="4">
        <f>IF(ISNUMBER('Chemical Data'!T590),'Chemical Data'!T590,"")</f>
        <v>463.39349940079626</v>
      </c>
      <c r="U45" s="4" t="str">
        <f>IF(ISNUMBER('Chemical Data'!U590),'Chemical Data'!U590,"")</f>
        <v/>
      </c>
      <c r="V45" s="4" t="str">
        <f>IF(ISNUMBER('Chemical Data'!V590),'Chemical Data'!V590,"")</f>
        <v/>
      </c>
      <c r="W45" s="4">
        <f>IF(ISNUMBER('Chemical Data'!W590),'Chemical Data'!W590,"")</f>
        <v>23</v>
      </c>
      <c r="X45" s="4">
        <f>IF(ISNUMBER('Chemical Data'!X590),'Chemical Data'!X590,"")</f>
        <v>2.8940000000000001</v>
      </c>
      <c r="Y45" s="4"/>
      <c r="Z45" s="4">
        <f>IF(ISNUMBER('Chemical Data'!Z590),'Chemical Data'!Z590,"")</f>
        <v>32.700000000000003</v>
      </c>
      <c r="AA45" s="4">
        <f>IF(ISNUMBER('Chemical Data'!AA590),'Chemical Data'!AA590,"")</f>
        <v>5.07</v>
      </c>
      <c r="AB45" s="4">
        <f>IF(ISNUMBER('Chemical Data'!AB590),'Chemical Data'!AB590,"")</f>
        <v>1363.49</v>
      </c>
      <c r="AC45" s="4">
        <f>IF(ISNUMBER('Chemical Data'!AC590),'Chemical Data'!AC590,"")</f>
        <v>207</v>
      </c>
      <c r="AD45" s="4">
        <f>IF(ISNUMBER('Chemical Data'!AD590),'Chemical Data'!AD590,"")</f>
        <v>77.3</v>
      </c>
      <c r="AE45" s="4">
        <f>IF(ISNUMBER('Chemical Data'!AE590),'Chemical Data'!AE590,"")</f>
        <v>66.2</v>
      </c>
      <c r="AF45" s="4">
        <f>IF(ISNUMBER('Chemical Data'!AF590),'Chemical Data'!AF590,"")</f>
        <v>3.67</v>
      </c>
      <c r="AG45" s="4">
        <f>IF(ISNUMBER('Chemical Data'!AG590),'Chemical Data'!AG590,"")</f>
        <v>6.7</v>
      </c>
      <c r="AH45" s="4">
        <f>IF(ISNUMBER('Chemical Data'!AH590),'Chemical Data'!AH590,"")</f>
        <v>0.29799999999999999</v>
      </c>
      <c r="AI45" s="4">
        <f>IF(ISNUMBER('Chemical Data'!AI590),'Chemical Data'!AI590,"")</f>
        <v>0.61099999999999999</v>
      </c>
      <c r="AJ45" s="4">
        <f>IF(ISNUMBER('Chemical Data'!AJ590),'Chemical Data'!AJ590,"")</f>
        <v>0.2</v>
      </c>
      <c r="AK45" s="4" t="str">
        <f>IF(ISNUMBER('Chemical Data'!AK590),'Chemical Data'!AK590,"")</f>
        <v/>
      </c>
      <c r="AL45" s="4" t="str">
        <f>IF(ISNUMBER('Chemical Data'!AL590),'Chemical Data'!AL590,"")</f>
        <v/>
      </c>
      <c r="AM45" s="4" t="str">
        <f>IF(ISNUMBER('Chemical Data'!AM590),'Chemical Data'!AM590,"")</f>
        <v/>
      </c>
      <c r="AN45" s="4">
        <f>IF(ISNUMBER('Chemical Data'!AN590),'Chemical Data'!AN590,"")</f>
        <v>646.11413999999991</v>
      </c>
      <c r="AO45" s="4">
        <f>IF(ISNUMBER('Chemical Data'!AO590),'Chemical Data'!AO590,"")</f>
        <v>44.787899999999993</v>
      </c>
      <c r="AP45" s="4">
        <f>IF(ISNUMBER('Chemical Data'!AP590),'Chemical Data'!AP590,"")</f>
        <v>63.67671</v>
      </c>
      <c r="AQ45" s="4">
        <f>IF(ISNUMBER('Chemical Data'!AQ590),'Chemical Data'!AQ590,"")</f>
        <v>9.8728110000000004</v>
      </c>
      <c r="AR45" s="4">
        <f>IF(ISNUMBER('Chemical Data'!AR590),'Chemical Data'!AR590,"")</f>
        <v>2655.1240769999999</v>
      </c>
      <c r="AS45" s="4">
        <f>IF(ISNUMBER('Chemical Data'!AS590),'Chemical Data'!AS590,"")</f>
        <v>0</v>
      </c>
    </row>
    <row r="46" spans="1:45" x14ac:dyDescent="0.3">
      <c r="A46" s="5">
        <f>'Chemical Data'!A591</f>
        <v>45366</v>
      </c>
      <c r="B46" t="str">
        <f>'Chemical Data'!B591</f>
        <v>008</v>
      </c>
      <c r="C46" t="str">
        <f>'Chemical Data'!C591</f>
        <v>DixonAMD2</v>
      </c>
      <c r="E46" t="s">
        <v>231</v>
      </c>
      <c r="H46" t="str">
        <f>'Chemical Data'!H591</f>
        <v>Hedin/ICCD</v>
      </c>
      <c r="J46" s="4">
        <f>IF(ISNUMBER('Chemical Data'!J591),'Chemical Data'!J591,"")</f>
        <v>438</v>
      </c>
      <c r="K46" s="4" t="s">
        <v>96</v>
      </c>
      <c r="L46" s="2">
        <f>IF(ISNUMBER('Chemical Data'!L591),'Chemical Data'!L591,"")</f>
        <v>2.36</v>
      </c>
      <c r="M46" s="2">
        <f>IF(ISNUMBER('Chemical Data'!M591),'Chemical Data'!M591,"")</f>
        <v>3</v>
      </c>
      <c r="N46" s="4">
        <f>IF(ISNUMBER('Chemical Data'!N591),'Chemical Data'!N591,"")</f>
        <v>1960</v>
      </c>
      <c r="O46" s="4" t="str">
        <f>IF(ISNUMBER('Chemical Data'!O591),'Chemical Data'!O591,"")</f>
        <v/>
      </c>
      <c r="P46" s="4">
        <f>IF(ISNUMBER('Chemical Data'!P591),'Chemical Data'!P591,"")</f>
        <v>11.8</v>
      </c>
      <c r="Q46" s="4">
        <f>IF(ISNUMBER('Chemical Data'!Q591),'Chemical Data'!Q591,"")</f>
        <v>0</v>
      </c>
      <c r="R46" s="4">
        <f>IF(ISNUMBER('Chemical Data'!R591),'Chemical Data'!R591,"")</f>
        <v>0</v>
      </c>
      <c r="S46" s="4">
        <f>IF(ISNUMBER('Chemical Data'!S591),'Chemical Data'!S591,"")</f>
        <v>298</v>
      </c>
      <c r="T46" s="4">
        <f>IF(ISNUMBER('Chemical Data'!T591),'Chemical Data'!T591,"")</f>
        <v>439.77569612008284</v>
      </c>
      <c r="U46" s="4" t="str">
        <f>IF(ISNUMBER('Chemical Data'!U591),'Chemical Data'!U591,"")</f>
        <v/>
      </c>
      <c r="V46" s="4" t="str">
        <f>IF(ISNUMBER('Chemical Data'!V591),'Chemical Data'!V591,"")</f>
        <v/>
      </c>
      <c r="W46" s="4">
        <f>IF(ISNUMBER('Chemical Data'!W591),'Chemical Data'!W591,"")</f>
        <v>23.856000000000002</v>
      </c>
      <c r="X46" s="4">
        <f>IF(ISNUMBER('Chemical Data'!X591),'Chemical Data'!X591,"")</f>
        <v>5.8</v>
      </c>
      <c r="Y46" s="4"/>
      <c r="Z46" s="4">
        <f>IF(ISNUMBER('Chemical Data'!Z591),'Chemical Data'!Z591,"")</f>
        <v>27.95</v>
      </c>
      <c r="AA46" s="4">
        <f>IF(ISNUMBER('Chemical Data'!AA591),'Chemical Data'!AA591,"")</f>
        <v>4.0350000000000001</v>
      </c>
      <c r="AB46" s="4">
        <f>IF(ISNUMBER('Chemical Data'!AB591),'Chemical Data'!AB591,"")</f>
        <v>1090.0999999999999</v>
      </c>
      <c r="AC46" s="4" t="str">
        <f>IF(ISNUMBER('Chemical Data'!AC591),'Chemical Data'!AC591,"")</f>
        <v/>
      </c>
      <c r="AD46" s="4" t="str">
        <f>IF(ISNUMBER('Chemical Data'!AD591),'Chemical Data'!AD591,"")</f>
        <v/>
      </c>
      <c r="AE46" s="4" t="str">
        <f>IF(ISNUMBER('Chemical Data'!AE591),'Chemical Data'!AE591,"")</f>
        <v/>
      </c>
      <c r="AF46" s="4" t="str">
        <f>IF(ISNUMBER('Chemical Data'!AF591),'Chemical Data'!AF591,"")</f>
        <v/>
      </c>
      <c r="AG46" s="4" t="str">
        <f>IF(ISNUMBER('Chemical Data'!AG591),'Chemical Data'!AG591,"")</f>
        <v/>
      </c>
      <c r="AH46" s="4" t="str">
        <f>IF(ISNUMBER('Chemical Data'!AH591),'Chemical Data'!AH591,"")</f>
        <v/>
      </c>
      <c r="AI46" s="4" t="str">
        <f>IF(ISNUMBER('Chemical Data'!AI591),'Chemical Data'!AI591,"")</f>
        <v/>
      </c>
      <c r="AJ46" s="4" t="str">
        <f>IF(ISNUMBER('Chemical Data'!AJ591),'Chemical Data'!AJ591,"")</f>
        <v/>
      </c>
      <c r="AK46" s="4" t="str">
        <f>IF(ISNUMBER('Chemical Data'!AK591),'Chemical Data'!AK591,"")</f>
        <v/>
      </c>
      <c r="AL46" s="4">
        <f>IF(ISNUMBER('Chemical Data'!AL591),'Chemical Data'!AL591,"")</f>
        <v>1486</v>
      </c>
      <c r="AM46" s="4" t="str">
        <f>IF(ISNUMBER('Chemical Data'!AM591),'Chemical Data'!AM591,"")</f>
        <v/>
      </c>
      <c r="AN46" s="4">
        <f>IF(ISNUMBER('Chemical Data'!AN591),'Chemical Data'!AN591,"")</f>
        <v>1566.288</v>
      </c>
      <c r="AO46" s="4">
        <f>IF(ISNUMBER('Chemical Data'!AO591),'Chemical Data'!AO591,"")</f>
        <v>125.387136</v>
      </c>
      <c r="AP46" s="4">
        <f>IF(ISNUMBER('Chemical Data'!AP591),'Chemical Data'!AP591,"")</f>
        <v>146.90520000000001</v>
      </c>
      <c r="AQ46" s="4">
        <f>IF(ISNUMBER('Chemical Data'!AQ591),'Chemical Data'!AQ591,"")</f>
        <v>21.207960000000003</v>
      </c>
      <c r="AR46" s="4">
        <f>IF(ISNUMBER('Chemical Data'!AR591),'Chemical Data'!AR591,"")</f>
        <v>5729.5655999999999</v>
      </c>
      <c r="AS46" s="4">
        <f>IF(ISNUMBER('Chemical Data'!AS591),'Chemical Data'!AS591,"")</f>
        <v>0</v>
      </c>
    </row>
    <row r="47" spans="1:45" x14ac:dyDescent="0.3">
      <c r="A47" s="5">
        <f>'Chemical Data'!A592</f>
        <v>45392</v>
      </c>
      <c r="C47" t="str">
        <f>'Chemical Data'!C592</f>
        <v>DixonAMD2</v>
      </c>
      <c r="E47" t="s">
        <v>231</v>
      </c>
      <c r="H47" t="str">
        <f>'Chemical Data'!H592</f>
        <v>Hedin/ICCD</v>
      </c>
      <c r="J47" s="4">
        <f>IF(ISNUMBER('Chemical Data'!J592),'Chemical Data'!J592,"")</f>
        <v>456</v>
      </c>
      <c r="K47" s="4" t="s">
        <v>96</v>
      </c>
      <c r="L47" s="2">
        <f>IF(ISNUMBER('Chemical Data'!L592),'Chemical Data'!L592,"")</f>
        <v>2.52</v>
      </c>
      <c r="M47" s="2">
        <f>IF(ISNUMBER('Chemical Data'!M592),'Chemical Data'!M592,"")</f>
        <v>3</v>
      </c>
      <c r="N47" s="4">
        <f>IF(ISNUMBER('Chemical Data'!N592),'Chemical Data'!N592,"")</f>
        <v>2308</v>
      </c>
      <c r="O47" s="4" t="str">
        <f>IF(ISNUMBER('Chemical Data'!O592),'Chemical Data'!O592,"")</f>
        <v/>
      </c>
      <c r="P47" s="4">
        <f>IF(ISNUMBER('Chemical Data'!P592),'Chemical Data'!P592,"")</f>
        <v>11.6</v>
      </c>
      <c r="Q47" s="4">
        <f>IF(ISNUMBER('Chemical Data'!Q592),'Chemical Data'!Q592,"")</f>
        <v>0</v>
      </c>
      <c r="R47" s="4">
        <f>IF(ISNUMBER('Chemical Data'!R592),'Chemical Data'!R592,"")</f>
        <v>0</v>
      </c>
      <c r="S47" s="4">
        <f>IF(ISNUMBER('Chemical Data'!S592),'Chemical Data'!S592,"")</f>
        <v>454.6</v>
      </c>
      <c r="T47" s="4">
        <f>IF(ISNUMBER('Chemical Data'!T592),'Chemical Data'!T592,"")</f>
        <v>521.36143602010065</v>
      </c>
      <c r="U47" s="4" t="str">
        <f>IF(ISNUMBER('Chemical Data'!U592),'Chemical Data'!U592,"")</f>
        <v/>
      </c>
      <c r="V47" s="4" t="str">
        <f>IF(ISNUMBER('Chemical Data'!V592),'Chemical Data'!V592,"")</f>
        <v/>
      </c>
      <c r="W47" s="4">
        <f>IF(ISNUMBER('Chemical Data'!W592),'Chemical Data'!W592,"")</f>
        <v>41.996000000000002</v>
      </c>
      <c r="X47" s="4">
        <f>IF(ISNUMBER('Chemical Data'!X592),'Chemical Data'!X592,"")</f>
        <v>9.0809999999999995</v>
      </c>
      <c r="Y47" s="4"/>
      <c r="Z47" s="4">
        <f>IF(ISNUMBER('Chemical Data'!Z592),'Chemical Data'!Z592,"")</f>
        <v>46.210999999999999</v>
      </c>
      <c r="AA47" s="4">
        <f>IF(ISNUMBER('Chemical Data'!AA592),'Chemical Data'!AA592,"")</f>
        <v>4.9249999999999998</v>
      </c>
      <c r="AB47" s="4">
        <f>IF(ISNUMBER('Chemical Data'!AB592),'Chemical Data'!AB592,"")</f>
        <v>1437.6</v>
      </c>
      <c r="AC47" s="4" t="str">
        <f>IF(ISNUMBER('Chemical Data'!AC592),'Chemical Data'!AC592,"")</f>
        <v/>
      </c>
      <c r="AD47" s="4" t="str">
        <f>IF(ISNUMBER('Chemical Data'!AD592),'Chemical Data'!AD592,"")</f>
        <v/>
      </c>
      <c r="AE47" s="4" t="str">
        <f>IF(ISNUMBER('Chemical Data'!AE592),'Chemical Data'!AE592,"")</f>
        <v/>
      </c>
      <c r="AF47" s="4" t="str">
        <f>IF(ISNUMBER('Chemical Data'!AF592),'Chemical Data'!AF592,"")</f>
        <v/>
      </c>
      <c r="AG47" s="4" t="str">
        <f>IF(ISNUMBER('Chemical Data'!AG592),'Chemical Data'!AG592,"")</f>
        <v/>
      </c>
      <c r="AH47" s="4" t="str">
        <f>IF(ISNUMBER('Chemical Data'!AH592),'Chemical Data'!AH592,"")</f>
        <v/>
      </c>
      <c r="AI47" s="4" t="str">
        <f>IF(ISNUMBER('Chemical Data'!AI592),'Chemical Data'!AI592,"")</f>
        <v/>
      </c>
      <c r="AJ47" s="4" t="str">
        <f>IF(ISNUMBER('Chemical Data'!AJ592),'Chemical Data'!AJ592,"")</f>
        <v/>
      </c>
      <c r="AK47" s="4" t="str">
        <f>IF(ISNUMBER('Chemical Data'!AK592),'Chemical Data'!AK592,"")</f>
        <v/>
      </c>
      <c r="AL47" s="4">
        <f>IF(ISNUMBER('Chemical Data'!AL592),'Chemical Data'!AL592,"")</f>
        <v>1998</v>
      </c>
      <c r="AM47" s="4" t="str">
        <f>IF(ISNUMBER('Chemical Data'!AM592),'Chemical Data'!AM592,"")</f>
        <v/>
      </c>
      <c r="AN47" s="4">
        <f>IF(ISNUMBER('Chemical Data'!AN592),'Chemical Data'!AN592,"")</f>
        <v>2487.5712000000003</v>
      </c>
      <c r="AO47" s="4">
        <f>IF(ISNUMBER('Chemical Data'!AO592),'Chemical Data'!AO592,"")</f>
        <v>229.80211199999999</v>
      </c>
      <c r="AP47" s="4">
        <f>IF(ISNUMBER('Chemical Data'!AP592),'Chemical Data'!AP592,"")</f>
        <v>252.866592</v>
      </c>
      <c r="AQ47" s="4">
        <f>IF(ISNUMBER('Chemical Data'!AQ592),'Chemical Data'!AQ592,"")</f>
        <v>26.949599999999997</v>
      </c>
      <c r="AR47" s="4">
        <f>IF(ISNUMBER('Chemical Data'!AR592),'Chemical Data'!AR592,"")</f>
        <v>7866.5472</v>
      </c>
      <c r="AS47" s="4">
        <f>IF(ISNUMBER('Chemical Data'!AS592),'Chemical Data'!AS592,"")</f>
        <v>0</v>
      </c>
    </row>
    <row r="48" spans="1:45" x14ac:dyDescent="0.3">
      <c r="A48" s="5">
        <f>'Chemical Data'!A593</f>
        <v>45442</v>
      </c>
      <c r="C48" t="str">
        <f>'Chemical Data'!C593</f>
        <v>DixonAMD2</v>
      </c>
      <c r="E48" t="s">
        <v>231</v>
      </c>
      <c r="H48" t="str">
        <f>'Chemical Data'!H593</f>
        <v>Hedin/ICCD</v>
      </c>
      <c r="J48" s="4">
        <f>IF(ISNUMBER('Chemical Data'!J593),'Chemical Data'!J593,"")</f>
        <v>140.1</v>
      </c>
      <c r="K48" s="4" t="s">
        <v>96</v>
      </c>
      <c r="L48" s="2">
        <f>IF(ISNUMBER('Chemical Data'!L593),'Chemical Data'!L593,"")</f>
        <v>2.76</v>
      </c>
      <c r="M48" s="2">
        <f>IF(ISNUMBER('Chemical Data'!M593),'Chemical Data'!M593,"")</f>
        <v>3</v>
      </c>
      <c r="N48" s="4">
        <f>IF(ISNUMBER('Chemical Data'!N593),'Chemical Data'!N593,"")</f>
        <v>2290</v>
      </c>
      <c r="O48" s="4" t="str">
        <f>IF(ISNUMBER('Chemical Data'!O593),'Chemical Data'!O593,"")</f>
        <v/>
      </c>
      <c r="P48" s="4">
        <f>IF(ISNUMBER('Chemical Data'!P593),'Chemical Data'!P593,"")</f>
        <v>12.5</v>
      </c>
      <c r="Q48" s="4">
        <f>IF(ISNUMBER('Chemical Data'!Q593),'Chemical Data'!Q593,"")</f>
        <v>0</v>
      </c>
      <c r="R48" s="4">
        <f>IF(ISNUMBER('Chemical Data'!R593),'Chemical Data'!R593,"")</f>
        <v>0</v>
      </c>
      <c r="S48" s="4">
        <f>IF(ISNUMBER('Chemical Data'!S593),'Chemical Data'!S593,"")</f>
        <v>341.6</v>
      </c>
      <c r="T48" s="4">
        <f>IF(ISNUMBER('Chemical Data'!T593),'Chemical Data'!T593,"")</f>
        <v>313.50775143746876</v>
      </c>
      <c r="U48" s="4" t="str">
        <f>IF(ISNUMBER('Chemical Data'!U593),'Chemical Data'!U593,"")</f>
        <v/>
      </c>
      <c r="V48" s="4" t="str">
        <f>IF(ISNUMBER('Chemical Data'!V593),'Chemical Data'!V593,"")</f>
        <v/>
      </c>
      <c r="W48" s="4">
        <f>IF(ISNUMBER('Chemical Data'!W593),'Chemical Data'!W593,"")</f>
        <v>20.56</v>
      </c>
      <c r="X48" s="4">
        <f>IF(ISNUMBER('Chemical Data'!X593),'Chemical Data'!X593,"")</f>
        <v>1.4550000000000001</v>
      </c>
      <c r="Y48" s="4"/>
      <c r="Z48" s="4">
        <f>IF(ISNUMBER('Chemical Data'!Z593),'Chemical Data'!Z593,"")</f>
        <v>29.64</v>
      </c>
      <c r="AA48" s="4">
        <f>IF(ISNUMBER('Chemical Data'!AA593),'Chemical Data'!AA593,"")</f>
        <v>4.4029999999999996</v>
      </c>
      <c r="AB48" s="4">
        <f>IF(ISNUMBER('Chemical Data'!AB593),'Chemical Data'!AB593,"")</f>
        <v>922.4</v>
      </c>
      <c r="AC48" s="4" t="str">
        <f>IF(ISNUMBER('Chemical Data'!AC593),'Chemical Data'!AC593,"")</f>
        <v/>
      </c>
      <c r="AD48" s="4" t="str">
        <f>IF(ISNUMBER('Chemical Data'!AD593),'Chemical Data'!AD593,"")</f>
        <v/>
      </c>
      <c r="AE48" s="4" t="str">
        <f>IF(ISNUMBER('Chemical Data'!AE593),'Chemical Data'!AE593,"")</f>
        <v/>
      </c>
      <c r="AF48" s="4" t="str">
        <f>IF(ISNUMBER('Chemical Data'!AF593),'Chemical Data'!AF593,"")</f>
        <v/>
      </c>
      <c r="AG48" s="4" t="str">
        <f>IF(ISNUMBER('Chemical Data'!AG593),'Chemical Data'!AG593,"")</f>
        <v/>
      </c>
      <c r="AH48" s="4" t="str">
        <f>IF(ISNUMBER('Chemical Data'!AH593),'Chemical Data'!AH593,"")</f>
        <v/>
      </c>
      <c r="AI48" s="4" t="str">
        <f>IF(ISNUMBER('Chemical Data'!AI593),'Chemical Data'!AI593,"")</f>
        <v/>
      </c>
      <c r="AJ48" s="4" t="str">
        <f>IF(ISNUMBER('Chemical Data'!AJ593),'Chemical Data'!AJ593,"")</f>
        <v/>
      </c>
      <c r="AK48" s="4" t="str">
        <f>IF(ISNUMBER('Chemical Data'!AK593),'Chemical Data'!AK593,"")</f>
        <v/>
      </c>
      <c r="AL48" s="4">
        <f>IF(ISNUMBER('Chemical Data'!AL593),'Chemical Data'!AL593,"")</f>
        <v>1822</v>
      </c>
      <c r="AM48" s="4" t="str">
        <f>IF(ISNUMBER('Chemical Data'!AM593),'Chemical Data'!AM593,"")</f>
        <v/>
      </c>
      <c r="AN48" s="4">
        <f>IF(ISNUMBER('Chemical Data'!AN593),'Chemical Data'!AN593,"")</f>
        <v>574.29792000000009</v>
      </c>
      <c r="AO48" s="4">
        <f>IF(ISNUMBER('Chemical Data'!AO593),'Chemical Data'!AO593,"")</f>
        <v>34.565472</v>
      </c>
      <c r="AP48" s="4">
        <f>IF(ISNUMBER('Chemical Data'!AP593),'Chemical Data'!AP593,"")</f>
        <v>49.830768000000006</v>
      </c>
      <c r="AQ48" s="4">
        <f>IF(ISNUMBER('Chemical Data'!AQ593),'Chemical Data'!AQ593,"")</f>
        <v>7.402323599999999</v>
      </c>
      <c r="AR48" s="4">
        <f>IF(ISNUMBER('Chemical Data'!AR593),'Chemical Data'!AR593,"")</f>
        <v>1550.7388799999999</v>
      </c>
      <c r="AS48" s="4">
        <f>IF(ISNUMBER('Chemical Data'!AS593),'Chemical Data'!AS593,"")</f>
        <v>0</v>
      </c>
    </row>
    <row r="49" spans="1:45" x14ac:dyDescent="0.3">
      <c r="A49" s="5">
        <v>45461</v>
      </c>
      <c r="C49" t="str">
        <f>'Chemical Data'!C594</f>
        <v>DixonAMD2</v>
      </c>
      <c r="E49" t="s">
        <v>231</v>
      </c>
      <c r="H49" t="str">
        <f>'Chemical Data'!H594</f>
        <v>Hedin/ICCD</v>
      </c>
      <c r="J49" s="4">
        <f>IF(ISNUMBER('Chemical Data'!J594),'Chemical Data'!J594,"")</f>
        <v>116.57</v>
      </c>
      <c r="K49" s="4" t="s">
        <v>96</v>
      </c>
      <c r="L49" s="2">
        <f>IF(ISNUMBER('Chemical Data'!L594),'Chemical Data'!L594,"")</f>
        <v>2.4300000000000002</v>
      </c>
      <c r="M49" s="2">
        <f>IF(ISNUMBER('Chemical Data'!M594),'Chemical Data'!M594,"")</f>
        <v>3</v>
      </c>
      <c r="N49" s="4">
        <f>IF(ISNUMBER('Chemical Data'!N594),'Chemical Data'!N594,"")</f>
        <v>2245</v>
      </c>
      <c r="O49" s="4" t="str">
        <f>IF(ISNUMBER('Chemical Data'!O594),'Chemical Data'!O594,"")</f>
        <v/>
      </c>
      <c r="P49" s="4">
        <f>IF(ISNUMBER('Chemical Data'!P594),'Chemical Data'!P594,"")</f>
        <v>12.1</v>
      </c>
      <c r="Q49" s="4">
        <f>IF(ISNUMBER('Chemical Data'!Q594),'Chemical Data'!Q594,"")</f>
        <v>0</v>
      </c>
      <c r="R49" s="4">
        <f>IF(ISNUMBER('Chemical Data'!R594),'Chemical Data'!R594,"")</f>
        <v>0</v>
      </c>
      <c r="S49" s="4">
        <f>IF(ISNUMBER('Chemical Data'!S594),'Chemical Data'!S594,"")</f>
        <v>357.6</v>
      </c>
      <c r="T49" s="4">
        <f>IF(ISNUMBER('Chemical Data'!T594),'Chemical Data'!T594,"")</f>
        <v>424.93807454858609</v>
      </c>
      <c r="U49" s="4" t="str">
        <f>IF(ISNUMBER('Chemical Data'!U594),'Chemical Data'!U594,"")</f>
        <v/>
      </c>
      <c r="V49" s="4" t="str">
        <f>IF(ISNUMBER('Chemical Data'!V594),'Chemical Data'!V594,"")</f>
        <v/>
      </c>
      <c r="W49" s="4">
        <f>IF(ISNUMBER('Chemical Data'!W594),'Chemical Data'!W594,"")</f>
        <v>21.751999999999999</v>
      </c>
      <c r="X49" s="4">
        <f>IF(ISNUMBER('Chemical Data'!X594),'Chemical Data'!X594,"")</f>
        <v>1.794</v>
      </c>
      <c r="Y49" s="4"/>
      <c r="Z49" s="4">
        <f>IF(ISNUMBER('Chemical Data'!Z594),'Chemical Data'!Z594,"")</f>
        <v>31.417000000000002</v>
      </c>
      <c r="AA49" s="4">
        <f>IF(ISNUMBER('Chemical Data'!AA594),'Chemical Data'!AA594,"")</f>
        <v>4.282</v>
      </c>
      <c r="AB49" s="4">
        <f>IF(ISNUMBER('Chemical Data'!AB594),'Chemical Data'!AB594,"")</f>
        <v>1146.0999999999999</v>
      </c>
      <c r="AC49" s="4" t="str">
        <f>IF(ISNUMBER('Chemical Data'!AC594),'Chemical Data'!AC594,"")</f>
        <v/>
      </c>
      <c r="AD49" s="4" t="str">
        <f>IF(ISNUMBER('Chemical Data'!AD594),'Chemical Data'!AD594,"")</f>
        <v/>
      </c>
      <c r="AE49" s="4" t="str">
        <f>IF(ISNUMBER('Chemical Data'!AE594),'Chemical Data'!AE594,"")</f>
        <v/>
      </c>
      <c r="AF49" s="4" t="str">
        <f>IF(ISNUMBER('Chemical Data'!AF594),'Chemical Data'!AF594,"")</f>
        <v/>
      </c>
      <c r="AG49" s="4" t="str">
        <f>IF(ISNUMBER('Chemical Data'!AG594),'Chemical Data'!AG594,"")</f>
        <v/>
      </c>
      <c r="AH49" s="4" t="str">
        <f>IF(ISNUMBER('Chemical Data'!AH594),'Chemical Data'!AH594,"")</f>
        <v/>
      </c>
      <c r="AI49" s="4" t="str">
        <f>IF(ISNUMBER('Chemical Data'!AI594),'Chemical Data'!AI594,"")</f>
        <v/>
      </c>
      <c r="AJ49" s="4" t="str">
        <f>IF(ISNUMBER('Chemical Data'!AJ594),'Chemical Data'!AJ594,"")</f>
        <v/>
      </c>
      <c r="AK49" s="4" t="str">
        <f>IF(ISNUMBER('Chemical Data'!AK594),'Chemical Data'!AK594,"")</f>
        <v/>
      </c>
      <c r="AL49" s="4">
        <f>IF(ISNUMBER('Chemical Data'!AL594),'Chemical Data'!AL594,"")</f>
        <v>1836</v>
      </c>
      <c r="AM49" s="4" t="str">
        <f>IF(ISNUMBER('Chemical Data'!AM594),'Chemical Data'!AM594,"")</f>
        <v/>
      </c>
      <c r="AN49" s="4">
        <f>IF(ISNUMBER('Chemical Data'!AN594),'Chemical Data'!AN594,"")</f>
        <v>500.22518400000001</v>
      </c>
      <c r="AO49" s="4">
        <f>IF(ISNUMBER('Chemical Data'!AO594),'Chemical Data'!AO594,"")</f>
        <v>30.427567679999999</v>
      </c>
      <c r="AP49" s="4">
        <f>IF(ISNUMBER('Chemical Data'!AP594),'Chemical Data'!AP594,"")</f>
        <v>43.947356280000001</v>
      </c>
      <c r="AQ49" s="4">
        <f>IF(ISNUMBER('Chemical Data'!AQ594),'Chemical Data'!AQ594,"")</f>
        <v>5.9898328799999998</v>
      </c>
      <c r="AR49" s="4">
        <f>IF(ISNUMBER('Chemical Data'!AR594),'Chemical Data'!AR594,"")</f>
        <v>1603.2105239999999</v>
      </c>
      <c r="AS49" s="4">
        <f>IF(ISNUMBER('Chemical Data'!AS594),'Chemical Data'!AS594,"")</f>
        <v>0</v>
      </c>
    </row>
    <row r="50" spans="1:45" x14ac:dyDescent="0.3">
      <c r="A50" s="5">
        <v>45483</v>
      </c>
      <c r="C50" t="str">
        <f>'Chemical Data'!C595</f>
        <v>DixonAMD2</v>
      </c>
      <c r="E50" t="s">
        <v>231</v>
      </c>
      <c r="H50" t="str">
        <f>'Chemical Data'!H595</f>
        <v>Hedin/ICCD</v>
      </c>
      <c r="J50" s="4">
        <f>IF(ISNUMBER('Chemical Data'!J595),'Chemical Data'!J595,"")</f>
        <v>83.35</v>
      </c>
      <c r="K50" s="4" t="s">
        <v>96</v>
      </c>
      <c r="L50" s="2">
        <f>IF(ISNUMBER('Chemical Data'!L595),'Chemical Data'!L595,"")</f>
        <v>2.92</v>
      </c>
      <c r="M50" s="2">
        <f>IF(ISNUMBER('Chemical Data'!M595),'Chemical Data'!M595,"")</f>
        <v>3</v>
      </c>
      <c r="N50" s="4">
        <f>IF(ISNUMBER('Chemical Data'!N595),'Chemical Data'!N595,"")</f>
        <v>2146</v>
      </c>
      <c r="O50" s="4" t="str">
        <f>IF(ISNUMBER('Chemical Data'!O595),'Chemical Data'!O595,"")</f>
        <v/>
      </c>
      <c r="P50" s="4">
        <f>IF(ISNUMBER('Chemical Data'!P595),'Chemical Data'!P595,"")</f>
        <v>15.3</v>
      </c>
      <c r="Q50" s="4">
        <f>IF(ISNUMBER('Chemical Data'!Q595),'Chemical Data'!Q595,"")</f>
        <v>0</v>
      </c>
      <c r="R50" s="4">
        <f>IF(ISNUMBER('Chemical Data'!R595),'Chemical Data'!R595,"")</f>
        <v>0</v>
      </c>
      <c r="S50" s="4">
        <f>IF(ISNUMBER('Chemical Data'!S595),'Chemical Data'!S595,"")</f>
        <v>562.79999999999995</v>
      </c>
      <c r="T50" s="4">
        <f>IF(ISNUMBER('Chemical Data'!T595),'Chemical Data'!T595,"")</f>
        <v>310.07018173087062</v>
      </c>
      <c r="U50" s="4" t="str">
        <f>IF(ISNUMBER('Chemical Data'!U595),'Chemical Data'!U595,"")</f>
        <v/>
      </c>
      <c r="V50" s="4" t="str">
        <f>IF(ISNUMBER('Chemical Data'!V595),'Chemical Data'!V595,"")</f>
        <v/>
      </c>
      <c r="W50" s="4">
        <f>IF(ISNUMBER('Chemical Data'!W595),'Chemical Data'!W595,"")</f>
        <v>25</v>
      </c>
      <c r="X50" s="4">
        <f>IF(ISNUMBER('Chemical Data'!X595),'Chemical Data'!X595,"")</f>
        <v>3.4820000000000002</v>
      </c>
      <c r="Y50" s="4"/>
      <c r="Z50" s="4">
        <f>IF(ISNUMBER('Chemical Data'!Z595),'Chemical Data'!Z595,"")</f>
        <v>32.06</v>
      </c>
      <c r="AA50" s="4">
        <f>IF(ISNUMBER('Chemical Data'!AA595),'Chemical Data'!AA595,"")</f>
        <v>4.2869999999999999</v>
      </c>
      <c r="AB50" s="4">
        <f>IF(ISNUMBER('Chemical Data'!AB595),'Chemical Data'!AB595,"")</f>
        <v>919</v>
      </c>
      <c r="AC50" s="4" t="str">
        <f>IF(ISNUMBER('Chemical Data'!AC595),'Chemical Data'!AC595,"")</f>
        <v/>
      </c>
      <c r="AD50" s="4" t="str">
        <f>IF(ISNUMBER('Chemical Data'!AD595),'Chemical Data'!AD595,"")</f>
        <v/>
      </c>
      <c r="AE50" s="4" t="str">
        <f>IF(ISNUMBER('Chemical Data'!AE595),'Chemical Data'!AE595,"")</f>
        <v/>
      </c>
      <c r="AF50" s="4" t="str">
        <f>IF(ISNUMBER('Chemical Data'!AF595),'Chemical Data'!AF595,"")</f>
        <v/>
      </c>
      <c r="AG50" s="4" t="str">
        <f>IF(ISNUMBER('Chemical Data'!AG595),'Chemical Data'!AG595,"")</f>
        <v/>
      </c>
      <c r="AH50" s="4" t="str">
        <f>IF(ISNUMBER('Chemical Data'!AH595),'Chemical Data'!AH595,"")</f>
        <v/>
      </c>
      <c r="AI50" s="4" t="str">
        <f>IF(ISNUMBER('Chemical Data'!AI595),'Chemical Data'!AI595,"")</f>
        <v/>
      </c>
      <c r="AJ50" s="4" t="str">
        <f>IF(ISNUMBER('Chemical Data'!AJ595),'Chemical Data'!AJ595,"")</f>
        <v/>
      </c>
      <c r="AK50" s="4" t="str">
        <f>IF(ISNUMBER('Chemical Data'!AK595),'Chemical Data'!AK595,"")</f>
        <v/>
      </c>
      <c r="AL50" s="4">
        <f>IF(ISNUMBER('Chemical Data'!AL595),'Chemical Data'!AL595,"")</f>
        <v>1810</v>
      </c>
      <c r="AM50" s="4" t="str">
        <f>IF(ISNUMBER('Chemical Data'!AM595),'Chemical Data'!AM595,"")</f>
        <v/>
      </c>
      <c r="AN50" s="4">
        <f>IF(ISNUMBER('Chemical Data'!AN595),'Chemical Data'!AN595,"")</f>
        <v>562.91255999999987</v>
      </c>
      <c r="AO50" s="4">
        <f>IF(ISNUMBER('Chemical Data'!AO595),'Chemical Data'!AO595,"")</f>
        <v>25.004999999999999</v>
      </c>
      <c r="AP50" s="4">
        <f>IF(ISNUMBER('Chemical Data'!AP595),'Chemical Data'!AP595,"")</f>
        <v>32.066412</v>
      </c>
      <c r="AQ50" s="4">
        <f>IF(ISNUMBER('Chemical Data'!AQ595),'Chemical Data'!AQ595,"")</f>
        <v>4.2878574</v>
      </c>
      <c r="AR50" s="4">
        <f>IF(ISNUMBER('Chemical Data'!AR595),'Chemical Data'!AR595,"")</f>
        <v>919.18379999999991</v>
      </c>
      <c r="AS50" s="4">
        <f>IF(ISNUMBER('Chemical Data'!AS595),'Chemical Data'!AS595,"")</f>
        <v>0</v>
      </c>
    </row>
    <row r="51" spans="1:45" x14ac:dyDescent="0.3">
      <c r="A51" s="5">
        <v>45527</v>
      </c>
      <c r="C51" t="str">
        <f>'Chemical Data'!C596</f>
        <v>DixonAMD2</v>
      </c>
      <c r="E51" t="s">
        <v>231</v>
      </c>
      <c r="H51" t="str">
        <f>'Chemical Data'!H596</f>
        <v>Hedin/ICCD</v>
      </c>
      <c r="J51" s="4">
        <f>IF(ISNUMBER('Chemical Data'!J596),'Chemical Data'!J596,"")</f>
        <v>93</v>
      </c>
      <c r="K51" s="4" t="s">
        <v>96</v>
      </c>
      <c r="L51" s="2">
        <f>IF(ISNUMBER('Chemical Data'!L596),'Chemical Data'!L596,"")</f>
        <v>3.94</v>
      </c>
      <c r="M51" s="2">
        <f>IF(ISNUMBER('Chemical Data'!M596),'Chemical Data'!M596,"")</f>
        <v>2.9</v>
      </c>
      <c r="N51" s="4">
        <f>IF(ISNUMBER('Chemical Data'!N596),'Chemical Data'!N596,"")</f>
        <v>2247</v>
      </c>
      <c r="O51" s="2" t="str">
        <f>IF(ISNUMBER('Chemical Data'!O596),'Chemical Data'!O596,"")</f>
        <v/>
      </c>
      <c r="P51" s="2" t="str">
        <f>IF(ISNUMBER('Chemical Data'!P596),'Chemical Data'!P596,"")</f>
        <v/>
      </c>
      <c r="Q51" s="4">
        <f>IF(ISNUMBER('Chemical Data'!Q596),'Chemical Data'!Q596,"")</f>
        <v>0</v>
      </c>
      <c r="R51" s="4">
        <f>IF(ISNUMBER('Chemical Data'!R596),'Chemical Data'!R596,"")</f>
        <v>0</v>
      </c>
      <c r="S51" s="4">
        <f>IF(ISNUMBER('Chemical Data'!S596),'Chemical Data'!S596,"")</f>
        <v>403.8</v>
      </c>
      <c r="T51" s="4">
        <f>IF(ISNUMBER('Chemical Data'!T596),'Chemical Data'!T596,"")</f>
        <v>289.01254810748441</v>
      </c>
      <c r="U51" s="2" t="str">
        <f>IF(ISNUMBER('Chemical Data'!U596),'Chemical Data'!U596,"")</f>
        <v/>
      </c>
      <c r="V51" s="2" t="str">
        <f>IF(ISNUMBER('Chemical Data'!V596),'Chemical Data'!V596,"")</f>
        <v/>
      </c>
      <c r="W51" s="4">
        <f>IF(ISNUMBER('Chemical Data'!W596),'Chemical Data'!W596,"")</f>
        <v>21.105</v>
      </c>
      <c r="X51" s="4">
        <f>IF(ISNUMBER('Chemical Data'!X596),'Chemical Data'!X596,"")</f>
        <v>1.5980000000000001</v>
      </c>
      <c r="Y51" s="4"/>
      <c r="Z51" s="4">
        <f>IF(ISNUMBER('Chemical Data'!Z596),'Chemical Data'!Z596,"")</f>
        <v>39.177</v>
      </c>
      <c r="AA51" s="4">
        <f>IF(ISNUMBER('Chemical Data'!AA596),'Chemical Data'!AA596,"")</f>
        <v>5.6639999999999997</v>
      </c>
      <c r="AB51" s="4">
        <f>IF(ISNUMBER('Chemical Data'!AB596),'Chemical Data'!AB596,"")</f>
        <v>5075.2</v>
      </c>
      <c r="AC51" s="2" t="str">
        <f>IF(ISNUMBER('Chemical Data'!AC596),'Chemical Data'!AC596,"")</f>
        <v/>
      </c>
      <c r="AD51" s="2" t="str">
        <f>IF(ISNUMBER('Chemical Data'!AD596),'Chemical Data'!AD596,"")</f>
        <v/>
      </c>
      <c r="AE51" s="2" t="str">
        <f>IF(ISNUMBER('Chemical Data'!AE596),'Chemical Data'!AE596,"")</f>
        <v/>
      </c>
      <c r="AF51" s="2" t="str">
        <f>IF(ISNUMBER('Chemical Data'!AF596),'Chemical Data'!AF596,"")</f>
        <v/>
      </c>
      <c r="AG51" s="2" t="str">
        <f>IF(ISNUMBER('Chemical Data'!AG596),'Chemical Data'!AG596,"")</f>
        <v/>
      </c>
      <c r="AH51" s="2" t="str">
        <f>IF(ISNUMBER('Chemical Data'!AH596),'Chemical Data'!AH596,"")</f>
        <v/>
      </c>
      <c r="AI51" s="2" t="str">
        <f>IF(ISNUMBER('Chemical Data'!AI596),'Chemical Data'!AI596,"")</f>
        <v/>
      </c>
      <c r="AJ51" s="2" t="str">
        <f>IF(ISNUMBER('Chemical Data'!AJ596),'Chemical Data'!AJ596,"")</f>
        <v/>
      </c>
      <c r="AK51" s="2" t="str">
        <f>IF(ISNUMBER('Chemical Data'!AK596),'Chemical Data'!AK596,"")</f>
        <v/>
      </c>
      <c r="AL51" s="4">
        <f>IF(ISNUMBER('Chemical Data'!AL596),'Chemical Data'!AL596,"")</f>
        <v>1870</v>
      </c>
      <c r="AM51" s="2" t="str">
        <f>IF(ISNUMBER('Chemical Data'!AM596),'Chemical Data'!AM596,"")</f>
        <v/>
      </c>
      <c r="AN51" s="4">
        <f>IF(ISNUMBER('Chemical Data'!AN596),'Chemical Data'!AN596,"")</f>
        <v>450.64080000000001</v>
      </c>
      <c r="AO51" s="4">
        <f>IF(ISNUMBER('Chemical Data'!AO596),'Chemical Data'!AO596,"")</f>
        <v>23.553180000000001</v>
      </c>
      <c r="AP51" s="4">
        <f>IF(ISNUMBER('Chemical Data'!AP596),'Chemical Data'!AP596,"")</f>
        <v>43.721531999999996</v>
      </c>
      <c r="AQ51" s="4">
        <f>IF(ISNUMBER('Chemical Data'!AQ596),'Chemical Data'!AQ596,"")</f>
        <v>6.3210239999999995</v>
      </c>
      <c r="AR51" s="4">
        <f>IF(ISNUMBER('Chemical Data'!AR596),'Chemical Data'!AR596,"")</f>
        <v>5663.9232000000002</v>
      </c>
      <c r="AS51" s="4">
        <f>IF(ISNUMBER('Chemical Data'!AS596),'Chemical Data'!AS596,"")</f>
        <v>0</v>
      </c>
    </row>
    <row r="52" spans="1:45" x14ac:dyDescent="0.3">
      <c r="A52" s="5">
        <v>45547</v>
      </c>
      <c r="C52" t="str">
        <f>'Chemical Data'!C597</f>
        <v>DixonAMD2</v>
      </c>
      <c r="E52" t="s">
        <v>231</v>
      </c>
      <c r="H52" t="str">
        <f>'Chemical Data'!H597</f>
        <v>Hedin/ICCD</v>
      </c>
      <c r="J52" s="4">
        <f>IF(ISNUMBER('Chemical Data'!J597),'Chemical Data'!J597,"")</f>
        <v>80.27</v>
      </c>
      <c r="K52" s="4" t="s">
        <v>96</v>
      </c>
      <c r="L52" s="2">
        <f>IF(ISNUMBER('Chemical Data'!L597),'Chemical Data'!L597,"")</f>
        <v>2.73</v>
      </c>
      <c r="M52" s="2">
        <f>IF(ISNUMBER('Chemical Data'!M597),'Chemical Data'!M597,"")</f>
        <v>3</v>
      </c>
      <c r="N52" s="4">
        <f>IF(ISNUMBER('Chemical Data'!N597),'Chemical Data'!N597,"")</f>
        <v>2444</v>
      </c>
      <c r="O52" s="4" t="str">
        <f>IF(ISNUMBER('Chemical Data'!O597),'Chemical Data'!O597,"")</f>
        <v/>
      </c>
      <c r="P52" s="4">
        <f>IF(ISNUMBER('Chemical Data'!P597),'Chemical Data'!P597,"")</f>
        <v>13.3</v>
      </c>
      <c r="Q52" s="4">
        <f>IF(ISNUMBER('Chemical Data'!Q597),'Chemical Data'!Q597,"")</f>
        <v>0</v>
      </c>
      <c r="R52" s="4">
        <f>IF(ISNUMBER('Chemical Data'!R597),'Chemical Data'!R597,"")</f>
        <v>0</v>
      </c>
      <c r="S52" s="4">
        <f>IF(ISNUMBER('Chemical Data'!S597),'Chemical Data'!S597,"")</f>
        <v>411.2</v>
      </c>
      <c r="T52" s="4">
        <f>IF(ISNUMBER('Chemical Data'!T597),'Chemical Data'!T597,"")</f>
        <v>368.50931683314332</v>
      </c>
      <c r="U52" s="4" t="str">
        <f>IF(ISNUMBER('Chemical Data'!U597),'Chemical Data'!U597,"")</f>
        <v/>
      </c>
      <c r="V52" s="4" t="str">
        <f>IF(ISNUMBER('Chemical Data'!V597),'Chemical Data'!V597,"")</f>
        <v/>
      </c>
      <c r="W52" s="4">
        <f>IF(ISNUMBER('Chemical Data'!W597),'Chemical Data'!W597,"")</f>
        <v>23.184000000000001</v>
      </c>
      <c r="X52" s="4">
        <f>IF(ISNUMBER('Chemical Data'!X597),'Chemical Data'!X597,"")</f>
        <v>2.7080000000000002</v>
      </c>
      <c r="Y52" s="4"/>
      <c r="Z52" s="4">
        <f>IF(ISNUMBER('Chemical Data'!Z597),'Chemical Data'!Z597,"")</f>
        <v>37.011000000000003</v>
      </c>
      <c r="AA52" s="4">
        <f>IF(ISNUMBER('Chemical Data'!AA597),'Chemical Data'!AA597,"")</f>
        <v>5.44</v>
      </c>
      <c r="AB52" s="4">
        <f>IF(ISNUMBER('Chemical Data'!AB597),'Chemical Data'!AB597,"")</f>
        <v>1237.5999999999999</v>
      </c>
      <c r="AC52" s="4" t="str">
        <f>IF(ISNUMBER('Chemical Data'!AC597),'Chemical Data'!AC597,"")</f>
        <v/>
      </c>
      <c r="AD52" s="4" t="str">
        <f>IF(ISNUMBER('Chemical Data'!AD597),'Chemical Data'!AD597,"")</f>
        <v/>
      </c>
      <c r="AE52" s="4" t="str">
        <f>IF(ISNUMBER('Chemical Data'!AE597),'Chemical Data'!AE597,"")</f>
        <v/>
      </c>
      <c r="AF52" s="4" t="str">
        <f>IF(ISNUMBER('Chemical Data'!AF597),'Chemical Data'!AF597,"")</f>
        <v/>
      </c>
      <c r="AG52" s="4" t="str">
        <f>IF(ISNUMBER('Chemical Data'!AG597),'Chemical Data'!AG597,"")</f>
        <v/>
      </c>
      <c r="AH52" s="4" t="str">
        <f>IF(ISNUMBER('Chemical Data'!AH597),'Chemical Data'!AH597,"")</f>
        <v/>
      </c>
      <c r="AI52" s="4" t="str">
        <f>IF(ISNUMBER('Chemical Data'!AI597),'Chemical Data'!AI597,"")</f>
        <v/>
      </c>
      <c r="AJ52" s="4" t="str">
        <f>IF(ISNUMBER('Chemical Data'!AJ597),'Chemical Data'!AJ597,"")</f>
        <v/>
      </c>
      <c r="AK52" s="4" t="str">
        <f>IF(ISNUMBER('Chemical Data'!AK597),'Chemical Data'!AK597,"")</f>
        <v/>
      </c>
      <c r="AL52" s="4">
        <f>IF(ISNUMBER('Chemical Data'!AL597),'Chemical Data'!AL597,"")</f>
        <v>1896</v>
      </c>
      <c r="AM52" s="4" t="str">
        <f>IF(ISNUMBER('Chemical Data'!AM597),'Chemical Data'!AM597,"")</f>
        <v/>
      </c>
      <c r="AN52" s="4">
        <f>IF(ISNUMBER('Chemical Data'!AN597),'Chemical Data'!AN597,"")</f>
        <v>396.08428799999996</v>
      </c>
      <c r="AO52" s="4">
        <f>IF(ISNUMBER('Chemical Data'!AO597),'Chemical Data'!AO597,"")</f>
        <v>22.331756160000001</v>
      </c>
      <c r="AP52" s="4">
        <f>IF(ISNUMBER('Chemical Data'!AP597),'Chemical Data'!AP597,"")</f>
        <v>35.650475639999996</v>
      </c>
      <c r="AQ52" s="4">
        <f>IF(ISNUMBER('Chemical Data'!AQ597),'Chemical Data'!AQ597,"")</f>
        <v>5.2400256000000001</v>
      </c>
      <c r="AR52" s="4">
        <f>IF(ISNUMBER('Chemical Data'!AR597),'Chemical Data'!AR597,"")</f>
        <v>1192.105824</v>
      </c>
      <c r="AS52" s="4">
        <f>IF(ISNUMBER('Chemical Data'!AS597),'Chemical Data'!AS597,"")</f>
        <v>0</v>
      </c>
    </row>
    <row r="53" spans="1:45" x14ac:dyDescent="0.3">
      <c r="A53" s="5">
        <v>45595</v>
      </c>
      <c r="C53" t="str">
        <f>'Chemical Data'!C598</f>
        <v>DixonAMD2</v>
      </c>
      <c r="E53" t="s">
        <v>231</v>
      </c>
      <c r="H53" t="str">
        <f>'Chemical Data'!H598</f>
        <v>Hedin/ICCD</v>
      </c>
      <c r="J53" s="4">
        <f>IF(ISNUMBER('Chemical Data'!J598),'Chemical Data'!J598,"")</f>
        <v>79.540000000000006</v>
      </c>
      <c r="K53" s="4" t="s">
        <v>96</v>
      </c>
      <c r="L53" s="2">
        <f>IF(ISNUMBER('Chemical Data'!L598),'Chemical Data'!L598,"")</f>
        <v>2.78</v>
      </c>
      <c r="M53" s="2">
        <f>IF(ISNUMBER('Chemical Data'!M598),'Chemical Data'!M598,"")</f>
        <v>3</v>
      </c>
      <c r="N53" s="4">
        <f>IF(ISNUMBER('Chemical Data'!N598),'Chemical Data'!N598,"")</f>
        <v>2274</v>
      </c>
      <c r="O53" s="4" t="str">
        <f>IF(ISNUMBER('Chemical Data'!O598),'Chemical Data'!O598,"")</f>
        <v/>
      </c>
      <c r="P53" s="4">
        <f>IF(ISNUMBER('Chemical Data'!P598),'Chemical Data'!P598,"")</f>
        <v>12.3</v>
      </c>
      <c r="Q53" s="4">
        <f>IF(ISNUMBER('Chemical Data'!Q598),'Chemical Data'!Q598,"")</f>
        <v>0</v>
      </c>
      <c r="R53" s="4">
        <f>IF(ISNUMBER('Chemical Data'!R598),'Chemical Data'!R598,"")</f>
        <v>0</v>
      </c>
      <c r="S53" s="4">
        <f>IF(ISNUMBER('Chemical Data'!S598),'Chemical Data'!S598,"")</f>
        <v>407.4</v>
      </c>
      <c r="T53" s="4">
        <f>IF(ISNUMBER('Chemical Data'!T598),'Chemical Data'!T598,"")</f>
        <v>358.62372537187798</v>
      </c>
      <c r="U53" s="4" t="str">
        <f>IF(ISNUMBER('Chemical Data'!U598),'Chemical Data'!U598,"")</f>
        <v/>
      </c>
      <c r="V53" s="4" t="str">
        <f>IF(ISNUMBER('Chemical Data'!V598),'Chemical Data'!V598,"")</f>
        <v/>
      </c>
      <c r="W53" s="4">
        <f>IF(ISNUMBER('Chemical Data'!W598),'Chemical Data'!W598,"")</f>
        <v>29.559000000000001</v>
      </c>
      <c r="X53" s="4">
        <f>IF(ISNUMBER('Chemical Data'!X598),'Chemical Data'!X598,"")</f>
        <v>6.46</v>
      </c>
      <c r="Y53" s="4"/>
      <c r="Z53" s="4">
        <f>IF(ISNUMBER('Chemical Data'!Z598),'Chemical Data'!Z598,"")</f>
        <v>34.716999999999999</v>
      </c>
      <c r="AA53" s="4">
        <f>IF(ISNUMBER('Chemical Data'!AA598),'Chemical Data'!AA598,"")</f>
        <v>5.0270000000000001</v>
      </c>
      <c r="AB53" s="4" t="str">
        <f>IF(ISNUMBER('Chemical Data'!AB598),'Chemical Data'!AB598,"")</f>
        <v/>
      </c>
      <c r="AC53" s="4" t="str">
        <f>IF(ISNUMBER('Chemical Data'!AC598),'Chemical Data'!AC598,"")</f>
        <v/>
      </c>
      <c r="AD53" s="4" t="str">
        <f>IF(ISNUMBER('Chemical Data'!AD598),'Chemical Data'!AD598,"")</f>
        <v/>
      </c>
      <c r="AE53" s="4" t="str">
        <f>IF(ISNUMBER('Chemical Data'!AE598),'Chemical Data'!AE598,"")</f>
        <v/>
      </c>
      <c r="AF53" s="4" t="str">
        <f>IF(ISNUMBER('Chemical Data'!AF598),'Chemical Data'!AF598,"")</f>
        <v/>
      </c>
      <c r="AG53" s="4" t="str">
        <f>IF(ISNUMBER('Chemical Data'!AG598),'Chemical Data'!AG598,"")</f>
        <v/>
      </c>
      <c r="AH53" s="4" t="str">
        <f>IF(ISNUMBER('Chemical Data'!AH598),'Chemical Data'!AH598,"")</f>
        <v/>
      </c>
      <c r="AI53" s="4" t="str">
        <f>IF(ISNUMBER('Chemical Data'!AI598),'Chemical Data'!AI598,"")</f>
        <v/>
      </c>
      <c r="AJ53" s="4" t="str">
        <f>IF(ISNUMBER('Chemical Data'!AJ598),'Chemical Data'!AJ598,"")</f>
        <v/>
      </c>
      <c r="AK53" s="4" t="str">
        <f>IF(ISNUMBER('Chemical Data'!AK598),'Chemical Data'!AK598,"")</f>
        <v/>
      </c>
      <c r="AL53" s="4">
        <f>IF(ISNUMBER('Chemical Data'!AL598),'Chemical Data'!AL598,"")</f>
        <v>2028</v>
      </c>
      <c r="AM53" s="4" t="str">
        <f>IF(ISNUMBER('Chemical Data'!AM598),'Chemical Data'!AM598,"")</f>
        <v/>
      </c>
      <c r="AN53" s="4">
        <f>IF(ISNUMBER('Chemical Data'!AN598),'Chemical Data'!AN598,"")</f>
        <v>388.85515200000003</v>
      </c>
      <c r="AO53" s="4">
        <f>IF(ISNUMBER('Chemical Data'!AO598),'Chemical Data'!AO598,"")</f>
        <v>28.213474320000007</v>
      </c>
      <c r="AP53" s="4">
        <f>IF(ISNUMBER('Chemical Data'!AP598),'Chemical Data'!AP598,"")</f>
        <v>33.136682160000007</v>
      </c>
      <c r="AQ53" s="4">
        <f>IF(ISNUMBER('Chemical Data'!AQ598),'Chemical Data'!AQ598,"")</f>
        <v>4.7981709600000011</v>
      </c>
      <c r="AR53" s="4" t="str">
        <f>IF(ISNUMBER('Chemical Data'!AR598),'Chemical Data'!AR598,"")</f>
        <v/>
      </c>
      <c r="AS53" s="4">
        <f>IF(ISNUMBER('Chemical Data'!AS598),'Chemical Data'!AS598,"")</f>
        <v>0</v>
      </c>
    </row>
    <row r="54" spans="1:45" x14ac:dyDescent="0.3">
      <c r="A54" s="5">
        <v>45617</v>
      </c>
      <c r="C54" t="str">
        <f>'Chemical Data'!C599</f>
        <v>DixonAMD2</v>
      </c>
      <c r="E54" t="s">
        <v>231</v>
      </c>
      <c r="H54" t="str">
        <f>'Chemical Data'!H599</f>
        <v>Hedin/ICCD</v>
      </c>
      <c r="J54" s="4">
        <f>IF(ISNUMBER('Chemical Data'!J599),'Chemical Data'!J599,"")</f>
        <v>96.7</v>
      </c>
      <c r="K54" s="4" t="s">
        <v>96</v>
      </c>
      <c r="L54" s="2">
        <f>IF(ISNUMBER('Chemical Data'!L599),'Chemical Data'!L599,"")</f>
        <v>3.67</v>
      </c>
      <c r="M54" s="2">
        <f>IF(ISNUMBER('Chemical Data'!M599),'Chemical Data'!M599,"")</f>
        <v>3</v>
      </c>
      <c r="N54" s="4">
        <f>IF(ISNUMBER('Chemical Data'!N599),'Chemical Data'!N599,"")</f>
        <v>2401</v>
      </c>
      <c r="O54" s="4" t="str">
        <f>IF(ISNUMBER('Chemical Data'!O599),'Chemical Data'!O599,"")</f>
        <v/>
      </c>
      <c r="P54" s="4">
        <f>IF(ISNUMBER('Chemical Data'!P599),'Chemical Data'!P599,"")</f>
        <v>10.8</v>
      </c>
      <c r="Q54" s="4">
        <f>IF(ISNUMBER('Chemical Data'!Q599),'Chemical Data'!Q599,"")</f>
        <v>0</v>
      </c>
      <c r="R54" s="4">
        <f>IF(ISNUMBER('Chemical Data'!R599),'Chemical Data'!R599,"")</f>
        <v>0</v>
      </c>
      <c r="S54" s="4">
        <f>IF(ISNUMBER('Chemical Data'!S599),'Chemical Data'!S599,"")</f>
        <v>419.6</v>
      </c>
      <c r="T54" s="4">
        <f>IF(ISNUMBER('Chemical Data'!T599),'Chemical Data'!T599,"")</f>
        <v>318.74417044751112</v>
      </c>
      <c r="U54" s="4" t="str">
        <f>IF(ISNUMBER('Chemical Data'!U599),'Chemical Data'!U599,"")</f>
        <v/>
      </c>
      <c r="V54" s="4" t="str">
        <f>IF(ISNUMBER('Chemical Data'!V599),'Chemical Data'!V599,"")</f>
        <v/>
      </c>
      <c r="W54" s="4">
        <f>IF(ISNUMBER('Chemical Data'!W599),'Chemical Data'!W599,"")</f>
        <v>35.496000000000002</v>
      </c>
      <c r="X54" s="4">
        <f>IF(ISNUMBER('Chemical Data'!X599),'Chemical Data'!X599,"")</f>
        <v>4.7300000000000004</v>
      </c>
      <c r="Y54" s="4"/>
      <c r="Z54" s="4">
        <f>IF(ISNUMBER('Chemical Data'!Z599),'Chemical Data'!Z599,"")</f>
        <v>37.052</v>
      </c>
      <c r="AA54" s="4">
        <f>IF(ISNUMBER('Chemical Data'!AA599),'Chemical Data'!AA599,"")</f>
        <v>6.1130000000000004</v>
      </c>
      <c r="AB54" s="4">
        <f>IF(ISNUMBER('Chemical Data'!AB599),'Chemical Data'!AB599,"")</f>
        <v>1444.5</v>
      </c>
      <c r="AC54" s="4" t="str">
        <f>IF(ISNUMBER('Chemical Data'!AC599),'Chemical Data'!AC599,"")</f>
        <v/>
      </c>
      <c r="AD54" s="4" t="str">
        <f>IF(ISNUMBER('Chemical Data'!AD599),'Chemical Data'!AD599,"")</f>
        <v/>
      </c>
      <c r="AE54" s="4" t="str">
        <f>IF(ISNUMBER('Chemical Data'!AE599),'Chemical Data'!AE599,"")</f>
        <v/>
      </c>
      <c r="AF54" s="4" t="str">
        <f>IF(ISNUMBER('Chemical Data'!AF599),'Chemical Data'!AF599,"")</f>
        <v/>
      </c>
      <c r="AG54" s="4" t="str">
        <f>IF(ISNUMBER('Chemical Data'!AG599),'Chemical Data'!AG599,"")</f>
        <v/>
      </c>
      <c r="AH54" s="4" t="str">
        <f>IF(ISNUMBER('Chemical Data'!AH599),'Chemical Data'!AH599,"")</f>
        <v/>
      </c>
      <c r="AI54" s="4" t="str">
        <f>IF(ISNUMBER('Chemical Data'!AI599),'Chemical Data'!AI599,"")</f>
        <v/>
      </c>
      <c r="AJ54" s="4" t="str">
        <f>IF(ISNUMBER('Chemical Data'!AJ599),'Chemical Data'!AJ599,"")</f>
        <v/>
      </c>
      <c r="AK54" s="4" t="str">
        <f>IF(ISNUMBER('Chemical Data'!AK599),'Chemical Data'!AK599,"")</f>
        <v/>
      </c>
      <c r="AL54" s="4">
        <f>IF(ISNUMBER('Chemical Data'!AL599),'Chemical Data'!AL599,"")</f>
        <v>2122</v>
      </c>
      <c r="AM54" s="4" t="str">
        <f>IF(ISNUMBER('Chemical Data'!AM599),'Chemical Data'!AM599,"")</f>
        <v/>
      </c>
      <c r="AN54" s="4">
        <f>IF(ISNUMBER('Chemical Data'!AN599),'Chemical Data'!AN599,"")</f>
        <v>486.90384000000012</v>
      </c>
      <c r="AO54" s="4">
        <f>IF(ISNUMBER('Chemical Data'!AO599),'Chemical Data'!AO599,"")</f>
        <v>41.189558400000003</v>
      </c>
      <c r="AP54" s="4">
        <f>IF(ISNUMBER('Chemical Data'!AP599),'Chemical Data'!AP599,"")</f>
        <v>42.995140800000001</v>
      </c>
      <c r="AQ54" s="4">
        <f>IF(ISNUMBER('Chemical Data'!AQ599),'Chemical Data'!AQ599,"")</f>
        <v>7.0935252000000011</v>
      </c>
      <c r="AR54" s="4">
        <f>IF(ISNUMBER('Chemical Data'!AR599),'Chemical Data'!AR599,"")</f>
        <v>1676.1977999999999</v>
      </c>
      <c r="AS54" s="4">
        <f>IF(ISNUMBER('Chemical Data'!AS599),'Chemical Data'!AS599,"")</f>
        <v>0</v>
      </c>
    </row>
    <row r="55" spans="1:45" x14ac:dyDescent="0.3">
      <c r="A55" s="5">
        <v>45644</v>
      </c>
      <c r="C55" t="str">
        <f>'Chemical Data'!C600</f>
        <v>DixonAMD2</v>
      </c>
      <c r="E55" t="s">
        <v>231</v>
      </c>
      <c r="H55" t="str">
        <f>'Chemical Data'!H600</f>
        <v>Hedin</v>
      </c>
      <c r="J55" s="4">
        <f>IF(ISNUMBER('Chemical Data'!J600),'Chemical Data'!J600,"")</f>
        <v>151.1</v>
      </c>
      <c r="K55" s="4" t="s">
        <v>96</v>
      </c>
      <c r="L55" s="2">
        <f>IF(ISNUMBER('Chemical Data'!L600),'Chemical Data'!L600,"")</f>
        <v>2.86</v>
      </c>
      <c r="M55" s="2">
        <f>IF(ISNUMBER('Chemical Data'!M600),'Chemical Data'!M600,"")</f>
        <v>3</v>
      </c>
      <c r="N55" s="4">
        <f>IF(ISNUMBER('Chemical Data'!N600),'Chemical Data'!N600,"")</f>
        <v>2404</v>
      </c>
      <c r="O55" s="4" t="str">
        <f>IF(ISNUMBER('Chemical Data'!O600),'Chemical Data'!O600,"")</f>
        <v/>
      </c>
      <c r="P55" s="4">
        <f>IF(ISNUMBER('Chemical Data'!P600),'Chemical Data'!P600,"")</f>
        <v>10</v>
      </c>
      <c r="Q55" s="4">
        <f>IF(ISNUMBER('Chemical Data'!Q600),'Chemical Data'!Q600,"")</f>
        <v>0</v>
      </c>
      <c r="R55" s="4">
        <f>IF(ISNUMBER('Chemical Data'!R600),'Chemical Data'!R600,"")</f>
        <v>0</v>
      </c>
      <c r="S55" s="4">
        <f>IF(ISNUMBER('Chemical Data'!S600),'Chemical Data'!S600,"")</f>
        <v>507.4</v>
      </c>
      <c r="T55" s="4">
        <f>IF(ISNUMBER('Chemical Data'!T600),'Chemical Data'!T600,"")</f>
        <v>443.00943323014423</v>
      </c>
      <c r="U55" s="4" t="str">
        <f>IF(ISNUMBER('Chemical Data'!U600),'Chemical Data'!U600,"")</f>
        <v/>
      </c>
      <c r="V55" s="4" t="str">
        <f>IF(ISNUMBER('Chemical Data'!V600),'Chemical Data'!V600,"")</f>
        <v/>
      </c>
      <c r="W55" s="4">
        <f>IF(ISNUMBER('Chemical Data'!W600),'Chemical Data'!W600,"")</f>
        <v>45.139000000000003</v>
      </c>
      <c r="X55" s="4">
        <f>IF(ISNUMBER('Chemical Data'!X600),'Chemical Data'!X600,"")</f>
        <v>3.77</v>
      </c>
      <c r="Y55" s="4"/>
      <c r="Z55" s="4">
        <f>IF(ISNUMBER('Chemical Data'!Z600),'Chemical Data'!Z600,"")</f>
        <v>44.213000000000001</v>
      </c>
      <c r="AA55" s="4">
        <f>IF(ISNUMBER('Chemical Data'!AA600),'Chemical Data'!AA600,"")</f>
        <v>5.7960000000000003</v>
      </c>
      <c r="AB55" s="4">
        <f>IF(ISNUMBER('Chemical Data'!AB600),'Chemical Data'!AB600,"")</f>
        <v>1507.7</v>
      </c>
      <c r="AC55" s="4" t="str">
        <f>IF(ISNUMBER('Chemical Data'!AC600),'Chemical Data'!AC600,"")</f>
        <v/>
      </c>
      <c r="AD55" s="4" t="str">
        <f>IF(ISNUMBER('Chemical Data'!AD600),'Chemical Data'!AD600,"")</f>
        <v/>
      </c>
      <c r="AE55" s="4" t="str">
        <f>IF(ISNUMBER('Chemical Data'!AE600),'Chemical Data'!AE600,"")</f>
        <v/>
      </c>
      <c r="AF55" s="4" t="str">
        <f>IF(ISNUMBER('Chemical Data'!AF600),'Chemical Data'!AF600,"")</f>
        <v/>
      </c>
      <c r="AG55" s="4" t="str">
        <f>IF(ISNUMBER('Chemical Data'!AG600),'Chemical Data'!AG600,"")</f>
        <v/>
      </c>
      <c r="AH55" s="4" t="str">
        <f>IF(ISNUMBER('Chemical Data'!AH600),'Chemical Data'!AH600,"")</f>
        <v/>
      </c>
      <c r="AI55" s="4" t="str">
        <f>IF(ISNUMBER('Chemical Data'!AI600),'Chemical Data'!AI600,"")</f>
        <v/>
      </c>
      <c r="AJ55" s="4" t="str">
        <f>IF(ISNUMBER('Chemical Data'!AJ600),'Chemical Data'!AJ600,"")</f>
        <v/>
      </c>
      <c r="AK55" s="4" t="str">
        <f>IF(ISNUMBER('Chemical Data'!AK600),'Chemical Data'!AK600,"")</f>
        <v/>
      </c>
      <c r="AL55" s="4">
        <f>IF(ISNUMBER('Chemical Data'!AL600),'Chemical Data'!AL600,"")</f>
        <v>2074</v>
      </c>
      <c r="AM55" s="4" t="str">
        <f>IF(ISNUMBER('Chemical Data'!AM600),'Chemical Data'!AM600,"")</f>
        <v/>
      </c>
      <c r="AN55" s="4">
        <f>IF(ISNUMBER('Chemical Data'!AN600),'Chemical Data'!AN600,"")</f>
        <v>920.01768000000004</v>
      </c>
      <c r="AO55" s="4">
        <f>IF(ISNUMBER('Chemical Data'!AO600),'Chemical Data'!AO600,"")</f>
        <v>81.846034800000012</v>
      </c>
      <c r="AP55" s="4">
        <f>IF(ISNUMBER('Chemical Data'!AP600),'Chemical Data'!AP600,"")</f>
        <v>80.167011599999995</v>
      </c>
      <c r="AQ55" s="4">
        <f>IF(ISNUMBER('Chemical Data'!AQ600),'Chemical Data'!AQ600,"")</f>
        <v>10.5093072</v>
      </c>
      <c r="AR55" s="4">
        <f>IF(ISNUMBER('Chemical Data'!AR600),'Chemical Data'!AR600,"")</f>
        <v>2733.7616400000002</v>
      </c>
      <c r="AS55" s="4">
        <f>IF(ISNUMBER('Chemical Data'!AS600),'Chemical Data'!AS600,"")</f>
        <v>0</v>
      </c>
    </row>
    <row r="56" spans="1:45" x14ac:dyDescent="0.3">
      <c r="A56" s="5">
        <v>45687</v>
      </c>
      <c r="C56" t="str">
        <f>'Chemical Data'!C601</f>
        <v>DixonAMD2</v>
      </c>
      <c r="E56" t="s">
        <v>231</v>
      </c>
      <c r="H56" t="str">
        <f>'Chemical Data'!H601</f>
        <v>Hedin/ICCD</v>
      </c>
      <c r="J56" s="4">
        <f>IF(ISNUMBER('Chemical Data'!J601),'Chemical Data'!J601,"")</f>
        <v>86.5</v>
      </c>
      <c r="K56" s="4" t="s">
        <v>96</v>
      </c>
      <c r="L56" s="2">
        <f>IF(ISNUMBER('Chemical Data'!L601),'Chemical Data'!L601,"")</f>
        <v>2.95</v>
      </c>
      <c r="M56" s="2">
        <f>IF(ISNUMBER('Chemical Data'!M601),'Chemical Data'!M601,"")</f>
        <v>3</v>
      </c>
      <c r="N56" s="4">
        <f>IF(ISNUMBER('Chemical Data'!N601),'Chemical Data'!N601,"")</f>
        <v>2262</v>
      </c>
      <c r="O56" s="4" t="str">
        <f>IF(ISNUMBER('Chemical Data'!O601),'Chemical Data'!O601,"")</f>
        <v/>
      </c>
      <c r="P56" s="4">
        <f>IF(ISNUMBER('Chemical Data'!P601),'Chemical Data'!P601,"")</f>
        <v>9.1</v>
      </c>
      <c r="Q56" s="4">
        <f>IF(ISNUMBER('Chemical Data'!Q601),'Chemical Data'!Q601,"")</f>
        <v>0</v>
      </c>
      <c r="R56" s="4">
        <f>IF(ISNUMBER('Chemical Data'!R601),'Chemical Data'!R601,"")</f>
        <v>0</v>
      </c>
      <c r="S56" s="4">
        <f>IF(ISNUMBER('Chemical Data'!S601),'Chemical Data'!S601,"")</f>
        <v>432.2</v>
      </c>
      <c r="T56" s="4">
        <f>IF(ISNUMBER('Chemical Data'!T601),'Chemical Data'!T601,"")</f>
        <v>377.36448271509812</v>
      </c>
      <c r="U56" s="4" t="str">
        <f>IF(ISNUMBER('Chemical Data'!U601),'Chemical Data'!U601,"")</f>
        <v/>
      </c>
      <c r="V56" s="4" t="str">
        <f>IF(ISNUMBER('Chemical Data'!V601),'Chemical Data'!V601,"")</f>
        <v/>
      </c>
      <c r="W56" s="4">
        <f>IF(ISNUMBER('Chemical Data'!W601),'Chemical Data'!W601,"")</f>
        <v>37.273000000000003</v>
      </c>
      <c r="X56" s="4">
        <f>IF(ISNUMBER('Chemical Data'!X601),'Chemical Data'!X601,"")</f>
        <v>4.0220000000000002</v>
      </c>
      <c r="Y56" s="4"/>
      <c r="Z56" s="4">
        <f>IF(ISNUMBER('Chemical Data'!Z601),'Chemical Data'!Z601,"")</f>
        <v>38.67</v>
      </c>
      <c r="AA56" s="4">
        <f>IF(ISNUMBER('Chemical Data'!AA601),'Chemical Data'!AA601,"")</f>
        <v>5.4649999999999999</v>
      </c>
      <c r="AB56" s="4">
        <f>IF(ISNUMBER('Chemical Data'!AB601),'Chemical Data'!AB601,"")</f>
        <v>1302.4000000000001</v>
      </c>
      <c r="AC56" s="4" t="str">
        <f>IF(ISNUMBER('Chemical Data'!AC601),'Chemical Data'!AC601,"")</f>
        <v/>
      </c>
      <c r="AD56" s="4" t="str">
        <f>IF(ISNUMBER('Chemical Data'!AD601),'Chemical Data'!AD601,"")</f>
        <v/>
      </c>
      <c r="AE56" s="4" t="str">
        <f>IF(ISNUMBER('Chemical Data'!AE601),'Chemical Data'!AE601,"")</f>
        <v/>
      </c>
      <c r="AF56" s="4" t="str">
        <f>IF(ISNUMBER('Chemical Data'!AF601),'Chemical Data'!AF601,"")</f>
        <v/>
      </c>
      <c r="AG56" s="4" t="str">
        <f>IF(ISNUMBER('Chemical Data'!AG601),'Chemical Data'!AG601,"")</f>
        <v/>
      </c>
      <c r="AH56" s="4" t="str">
        <f>IF(ISNUMBER('Chemical Data'!AH601),'Chemical Data'!AH601,"")</f>
        <v/>
      </c>
      <c r="AI56" s="4" t="str">
        <f>IF(ISNUMBER('Chemical Data'!AI601),'Chemical Data'!AI601,"")</f>
        <v/>
      </c>
      <c r="AJ56" s="4" t="str">
        <f>IF(ISNUMBER('Chemical Data'!AJ601),'Chemical Data'!AJ601,"")</f>
        <v/>
      </c>
      <c r="AK56" s="4" t="str">
        <f>IF(ISNUMBER('Chemical Data'!AK601),'Chemical Data'!AK601,"")</f>
        <v/>
      </c>
      <c r="AL56" s="4">
        <f>IF(ISNUMBER('Chemical Data'!AL601),'Chemical Data'!AL601,"")</f>
        <v>1922</v>
      </c>
      <c r="AM56" s="4" t="str">
        <f>IF(ISNUMBER('Chemical Data'!AM601),'Chemical Data'!AM601,"")</f>
        <v/>
      </c>
      <c r="AN56" s="4">
        <f>IF(ISNUMBER('Chemical Data'!AN601),'Chemical Data'!AN601,"")</f>
        <v>448.62359999999995</v>
      </c>
      <c r="AO56" s="4">
        <f>IF(ISNUMBER('Chemical Data'!AO601),'Chemical Data'!AO601,"")</f>
        <v>38.689374000000001</v>
      </c>
      <c r="AP56" s="4">
        <f>IF(ISNUMBER('Chemical Data'!AP601),'Chemical Data'!AP601,"")</f>
        <v>40.13946</v>
      </c>
      <c r="AQ56" s="4">
        <f>IF(ISNUMBER('Chemical Data'!AQ601),'Chemical Data'!AQ601,"")</f>
        <v>5.6726700000000001</v>
      </c>
      <c r="AR56" s="4">
        <f>IF(ISNUMBER('Chemical Data'!AR601),'Chemical Data'!AR601,"")</f>
        <v>1351.8912</v>
      </c>
      <c r="AS56" s="4">
        <f>IF(ISNUMBER('Chemical Data'!AS601),'Chemical Data'!AS601,"")</f>
        <v>0</v>
      </c>
    </row>
    <row r="57" spans="1:45" s="7" customFormat="1" x14ac:dyDescent="0.3">
      <c r="A57" s="45" t="s">
        <v>144</v>
      </c>
      <c r="B57" s="46"/>
      <c r="J57" s="20">
        <f t="shared" ref="J57:T57" si="8">AVERAGE(J42:J56)</f>
        <v>162.54266666666663</v>
      </c>
      <c r="K57" s="7" t="e">
        <f t="shared" si="8"/>
        <v>#DIV/0!</v>
      </c>
      <c r="L57" s="117">
        <f t="shared" si="8"/>
        <v>2.9078571428571434</v>
      </c>
      <c r="M57" s="30">
        <f t="shared" si="8"/>
        <v>3</v>
      </c>
      <c r="N57" s="20">
        <f t="shared" si="8"/>
        <v>2206.4285714285716</v>
      </c>
      <c r="O57" s="20">
        <f t="shared" si="8"/>
        <v>1993</v>
      </c>
      <c r="P57" s="20">
        <f t="shared" si="8"/>
        <v>11.990909090909092</v>
      </c>
      <c r="Q57" s="20">
        <f t="shared" si="8"/>
        <v>0</v>
      </c>
      <c r="R57" s="20">
        <f t="shared" si="8"/>
        <v>0</v>
      </c>
      <c r="S57" s="20">
        <f t="shared" si="8"/>
        <v>396.12857142857138</v>
      </c>
      <c r="T57" s="20">
        <f t="shared" si="8"/>
        <v>369.38600884227935</v>
      </c>
      <c r="U57" s="20"/>
      <c r="V57" s="20"/>
      <c r="W57" s="20">
        <f>AVERAGE(W42:W56)</f>
        <v>29.394285714285719</v>
      </c>
      <c r="X57" s="20">
        <f>AVERAGE(X42:X56)</f>
        <v>4.5602857142857136</v>
      </c>
      <c r="Y57" s="20"/>
      <c r="Z57" s="20">
        <f t="shared" ref="Z57:AJ57" si="9">AVERAGE(Z42:Z56)</f>
        <v>34.672714285714292</v>
      </c>
      <c r="AA57" s="20">
        <f t="shared" si="9"/>
        <v>4.938071428571428</v>
      </c>
      <c r="AB57" s="20">
        <f t="shared" si="9"/>
        <v>1519.6361538461538</v>
      </c>
      <c r="AC57" s="20">
        <f t="shared" si="9"/>
        <v>192</v>
      </c>
      <c r="AD57" s="20">
        <f t="shared" si="9"/>
        <v>73.399999999999991</v>
      </c>
      <c r="AE57" s="20">
        <f t="shared" si="9"/>
        <v>55.433333333333337</v>
      </c>
      <c r="AF57" s="20">
        <f t="shared" si="9"/>
        <v>3.4733333333333332</v>
      </c>
      <c r="AG57" s="20">
        <f t="shared" si="9"/>
        <v>7.5</v>
      </c>
      <c r="AH57" s="20">
        <f t="shared" si="9"/>
        <v>0.26600000000000001</v>
      </c>
      <c r="AI57" s="20">
        <f t="shared" si="9"/>
        <v>0.54433333333333334</v>
      </c>
      <c r="AJ57" s="20">
        <f t="shared" si="9"/>
        <v>0.2</v>
      </c>
      <c r="AK57" s="20"/>
      <c r="AL57" s="20">
        <f>AVERAGE(AL42:AL56)</f>
        <v>1896.7272727272727</v>
      </c>
      <c r="AM57" s="20"/>
      <c r="AN57" s="20">
        <f t="shared" ref="AN57:AS57" si="10">AVERAGE(AN42:AN56)</f>
        <v>788.40357257142875</v>
      </c>
      <c r="AO57" s="20">
        <f t="shared" si="10"/>
        <v>63.69786624000001</v>
      </c>
      <c r="AP57" s="20">
        <f t="shared" si="10"/>
        <v>71.947774748571433</v>
      </c>
      <c r="AQ57" s="20">
        <f t="shared" si="10"/>
        <v>9.8440392857142864</v>
      </c>
      <c r="AR57" s="20">
        <f t="shared" si="10"/>
        <v>2995.8855435692308</v>
      </c>
      <c r="AS57" s="20">
        <f t="shared" si="10"/>
        <v>0</v>
      </c>
    </row>
    <row r="58" spans="1:45" x14ac:dyDescent="0.3">
      <c r="A58" s="5"/>
    </row>
    <row r="59" spans="1:45" x14ac:dyDescent="0.3">
      <c r="A59" s="5">
        <f>'Chemical Data'!A571</f>
        <v>44964</v>
      </c>
      <c r="B59" t="str">
        <f>'Chemical Data'!B571</f>
        <v>054</v>
      </c>
      <c r="C59" t="s">
        <v>246</v>
      </c>
      <c r="E59" t="str">
        <f>'Chemical Data'!E571</f>
        <v xml:space="preserve">Harris St Discharge in Dixon Run report </v>
      </c>
      <c r="H59" t="str">
        <f>'Chemical Data'!H571</f>
        <v>Hedin/ICCD</v>
      </c>
      <c r="J59" s="4">
        <f>IF(ISNUMBER('Chemical Data'!J571),'Chemical Data'!J571,"")</f>
        <v>62</v>
      </c>
      <c r="K59" t="str">
        <f>'Chemical Data'!K571</f>
        <v>M</v>
      </c>
      <c r="L59" s="2">
        <f>IF(ISNUMBER('Chemical Data'!L571),'Chemical Data'!L571,"")</f>
        <v>3.08</v>
      </c>
      <c r="M59" s="2">
        <f>IF(ISNUMBER('Chemical Data'!M571),'Chemical Data'!M571,"")</f>
        <v>3.1</v>
      </c>
      <c r="N59" s="4">
        <f>IF(ISNUMBER('Chemical Data'!N571),'Chemical Data'!N571,"")</f>
        <v>986</v>
      </c>
      <c r="O59" s="4">
        <f>IF(ISNUMBER('Chemical Data'!O571),'Chemical Data'!O571,"")</f>
        <v>919</v>
      </c>
      <c r="P59" s="4" t="str">
        <f>IF(ISNUMBER('Chemical Data'!P571),'Chemical Data'!P571,"")</f>
        <v/>
      </c>
      <c r="Q59" s="4">
        <f>IF(ISNUMBER('Chemical Data'!Q571),'Chemical Data'!Q571,"")</f>
        <v>0</v>
      </c>
      <c r="R59" s="4">
        <f>IF(ISNUMBER('Chemical Data'!R571),'Chemical Data'!R571,"")</f>
        <v>0</v>
      </c>
      <c r="S59" s="4">
        <f>IF(ISNUMBER('Chemical Data'!S571),'Chemical Data'!S571,"")</f>
        <v>205</v>
      </c>
      <c r="T59" s="4">
        <f>IF(ISNUMBER('Chemical Data'!T571),'Chemical Data'!T571,"")</f>
        <v>181.06801855513351</v>
      </c>
      <c r="U59" s="4"/>
      <c r="W59" s="3">
        <f>IF(ISNUMBER('Chemical Data'!W571),'Chemical Data'!W571,"")</f>
        <v>9.2899999999999991</v>
      </c>
      <c r="X59" s="3">
        <f>IF(ISNUMBER('Chemical Data'!X571),'Chemical Data'!X571,"")</f>
        <v>0.373</v>
      </c>
      <c r="Z59" s="3">
        <f>IF(ISNUMBER('Chemical Data'!Z571),'Chemical Data'!Z571,"")</f>
        <v>20.2</v>
      </c>
      <c r="AA59" s="3">
        <f>IF(ISNUMBER('Chemical Data'!AA571),'Chemical Data'!AA571,"")</f>
        <v>1.43</v>
      </c>
      <c r="AB59" s="3">
        <f>IF(ISNUMBER('Chemical Data'!AB571),'Chemical Data'!AB571,"")</f>
        <v>475.51</v>
      </c>
      <c r="AC59" s="3">
        <f>IF(ISNUMBER('Chemical Data'!AC571),'Chemical Data'!AC571,"")</f>
        <v>65.099999999999994</v>
      </c>
      <c r="AD59" s="3">
        <f>IF(ISNUMBER('Chemical Data'!AD571),'Chemical Data'!AD571,"")</f>
        <v>28.6</v>
      </c>
      <c r="AE59" s="3">
        <f>IF(ISNUMBER('Chemical Data'!AE571),'Chemical Data'!AE571,"")</f>
        <v>1.31</v>
      </c>
      <c r="AF59" s="3">
        <f>IF(ISNUMBER('Chemical Data'!AF571),'Chemical Data'!AF571,"")</f>
        <v>1.21</v>
      </c>
      <c r="AG59" s="3">
        <f>IF(ISNUMBER('Chemical Data'!AG571),'Chemical Data'!AG571,"")</f>
        <v>4</v>
      </c>
      <c r="AH59" s="3">
        <f>IF(ISNUMBER('Chemical Data'!AH571),'Chemical Data'!AH571,"")</f>
        <v>0.125</v>
      </c>
      <c r="AI59" s="3">
        <f>IF(ISNUMBER('Chemical Data'!AI571),'Chemical Data'!AI571,"")</f>
        <v>0.20499999999999999</v>
      </c>
      <c r="AJ59" s="3" t="str">
        <f>IF(ISNUMBER('Chemical Data'!AJ571),'Chemical Data'!AJ571,"")</f>
        <v/>
      </c>
      <c r="AK59" s="3" t="str">
        <f>IF(ISNUMBER('Chemical Data'!AK571),'Chemical Data'!AK571,"")</f>
        <v/>
      </c>
      <c r="AL59" s="3" t="str">
        <f>IF(ISNUMBER('Chemical Data'!AL571),'Chemical Data'!AL571,"")</f>
        <v/>
      </c>
      <c r="AM59" s="3" t="str">
        <f>IF(ISNUMBER('Chemical Data'!AM571),'Chemical Data'!AM571,"")</f>
        <v/>
      </c>
      <c r="AN59" s="3">
        <f>IF(ISNUMBER('Chemical Data'!AN571),'Chemical Data'!AN571,"")</f>
        <v>152.52000000000001</v>
      </c>
      <c r="AO59" s="3">
        <f>IF(ISNUMBER('Chemical Data'!AO571),'Chemical Data'!AO571,"")</f>
        <v>6.9117599999999992</v>
      </c>
      <c r="AP59" s="3">
        <f>IF(ISNUMBER('Chemical Data'!AP571),'Chemical Data'!AP571,"")</f>
        <v>15.028799999999999</v>
      </c>
      <c r="AQ59" s="3">
        <f>IF(ISNUMBER('Chemical Data'!AQ571),'Chemical Data'!AQ571,"")</f>
        <v>1.06392</v>
      </c>
      <c r="AR59" s="3">
        <f>IF(ISNUMBER('Chemical Data'!AR571),'Chemical Data'!AR571,"")</f>
        <v>353.77944000000002</v>
      </c>
      <c r="AS59" s="3">
        <f>IF(ISNUMBER('Chemical Data'!AS571),'Chemical Data'!AS571,"")</f>
        <v>0</v>
      </c>
    </row>
    <row r="60" spans="1:45" x14ac:dyDescent="0.3">
      <c r="A60" s="5">
        <f>'Chemical Data'!A572</f>
        <v>45022</v>
      </c>
      <c r="B60" t="str">
        <f>'Chemical Data'!B572</f>
        <v>014</v>
      </c>
      <c r="C60" t="str">
        <f>'Chemical Data'!C572</f>
        <v>DixonAMD1</v>
      </c>
      <c r="E60" t="str">
        <f>'Chemical Data'!E572</f>
        <v xml:space="preserve">Harris St Discharge in Dixon Run report </v>
      </c>
      <c r="H60" t="str">
        <f>'Chemical Data'!H572</f>
        <v>Hedin/ICCD</v>
      </c>
      <c r="J60" s="4">
        <f>IF(ISNUMBER('Chemical Data'!J572),'Chemical Data'!J572,"")</f>
        <v>62</v>
      </c>
      <c r="K60" t="str">
        <f>'Chemical Data'!K572</f>
        <v>M</v>
      </c>
      <c r="L60" s="2">
        <f>IF(ISNUMBER('Chemical Data'!L572),'Chemical Data'!L572,"")</f>
        <v>3.15</v>
      </c>
      <c r="M60" s="2">
        <f>IF(ISNUMBER('Chemical Data'!M572),'Chemical Data'!M572,"")</f>
        <v>3.2</v>
      </c>
      <c r="N60" s="4">
        <f>IF(ISNUMBER('Chemical Data'!N572),'Chemical Data'!N572,"")</f>
        <v>727</v>
      </c>
      <c r="O60" s="4">
        <f>IF(ISNUMBER('Chemical Data'!O572),'Chemical Data'!O572,"")</f>
        <v>734</v>
      </c>
      <c r="P60" s="4" t="str">
        <f>IF(ISNUMBER('Chemical Data'!P572),'Chemical Data'!P572,"")</f>
        <v/>
      </c>
      <c r="Q60" s="4">
        <f>IF(ISNUMBER('Chemical Data'!Q572),'Chemical Data'!Q572,"")</f>
        <v>0</v>
      </c>
      <c r="R60" s="4">
        <f>IF(ISNUMBER('Chemical Data'!R572),'Chemical Data'!R572,"")</f>
        <v>0</v>
      </c>
      <c r="S60" s="4">
        <f>IF(ISNUMBER('Chemical Data'!S572),'Chemical Data'!S572,"")</f>
        <v>152</v>
      </c>
      <c r="T60" s="4">
        <f>IF(ISNUMBER('Chemical Data'!T572),'Chemical Data'!T572,"")</f>
        <v>139.7875292192069</v>
      </c>
      <c r="U60" s="4"/>
      <c r="W60" s="3">
        <f>IF(ISNUMBER('Chemical Data'!W572),'Chemical Data'!W572,"")</f>
        <v>6.55</v>
      </c>
      <c r="X60" s="3">
        <f>IF(ISNUMBER('Chemical Data'!X572),'Chemical Data'!X572,"")</f>
        <v>0.32400000000000001</v>
      </c>
      <c r="Z60" s="3">
        <f>IF(ISNUMBER('Chemical Data'!Z572),'Chemical Data'!Z572,"")</f>
        <v>15.3</v>
      </c>
      <c r="AA60" s="3">
        <f>IF(ISNUMBER('Chemical Data'!AA572),'Chemical Data'!AA572,"")</f>
        <v>1.1299999999999999</v>
      </c>
      <c r="AB60" s="3">
        <f>IF(ISNUMBER('Chemical Data'!AB572),'Chemical Data'!AB572,"")</f>
        <v>368.82</v>
      </c>
      <c r="AC60" s="3">
        <f>IF(ISNUMBER('Chemical Data'!AC572),'Chemical Data'!AC572,"")</f>
        <v>55.2</v>
      </c>
      <c r="AD60" s="3">
        <f>IF(ISNUMBER('Chemical Data'!AD572),'Chemical Data'!AD572,"")</f>
        <v>23.4</v>
      </c>
      <c r="AE60" s="3">
        <f>IF(ISNUMBER('Chemical Data'!AE572),'Chemical Data'!AE572,"")</f>
        <v>1.31</v>
      </c>
      <c r="AF60" s="3">
        <f>IF(ISNUMBER('Chemical Data'!AF572),'Chemical Data'!AF572,"")</f>
        <v>1.18</v>
      </c>
      <c r="AG60" s="3">
        <f>IF(ISNUMBER('Chemical Data'!AG572),'Chemical Data'!AG572,"")</f>
        <v>4</v>
      </c>
      <c r="AH60" s="3">
        <f>IF(ISNUMBER('Chemical Data'!AH572),'Chemical Data'!AH572,"")</f>
        <v>9.7000000000000003E-2</v>
      </c>
      <c r="AI60" s="3">
        <f>IF(ISNUMBER('Chemical Data'!AI572),'Chemical Data'!AI572,"")</f>
        <v>0.17</v>
      </c>
      <c r="AJ60" s="3" t="str">
        <f>IF(ISNUMBER('Chemical Data'!AJ572),'Chemical Data'!AJ572,"")</f>
        <v/>
      </c>
      <c r="AK60" s="3" t="str">
        <f>IF(ISNUMBER('Chemical Data'!AK572),'Chemical Data'!AK572,"")</f>
        <v/>
      </c>
      <c r="AL60" s="3" t="str">
        <f>IF(ISNUMBER('Chemical Data'!AL572),'Chemical Data'!AL572,"")</f>
        <v/>
      </c>
      <c r="AM60" s="3" t="str">
        <f>IF(ISNUMBER('Chemical Data'!AM572),'Chemical Data'!AM572,"")</f>
        <v/>
      </c>
      <c r="AN60" s="3">
        <f>IF(ISNUMBER('Chemical Data'!AN572),'Chemical Data'!AN572,"")</f>
        <v>113.08800000000001</v>
      </c>
      <c r="AO60" s="3">
        <f>IF(ISNUMBER('Chemical Data'!AO572),'Chemical Data'!AO572,"")</f>
        <v>4.8731999999999998</v>
      </c>
      <c r="AP60" s="3">
        <f>IF(ISNUMBER('Chemical Data'!AP572),'Chemical Data'!AP572,"")</f>
        <v>11.3832</v>
      </c>
      <c r="AQ60" s="3">
        <f>IF(ISNUMBER('Chemical Data'!AQ572),'Chemical Data'!AQ572,"")</f>
        <v>0.84071999999999991</v>
      </c>
      <c r="AR60" s="3">
        <f>IF(ISNUMBER('Chemical Data'!AR572),'Chemical Data'!AR572,"")</f>
        <v>274.40208000000001</v>
      </c>
      <c r="AS60" s="3">
        <f>IF(ISNUMBER('Chemical Data'!AS572),'Chemical Data'!AS572,"")</f>
        <v>0</v>
      </c>
    </row>
    <row r="61" spans="1:45" x14ac:dyDescent="0.3">
      <c r="A61" s="5">
        <f>'Chemical Data'!A573</f>
        <v>45098</v>
      </c>
      <c r="B61" t="str">
        <f>'Chemical Data'!B573</f>
        <v>041</v>
      </c>
      <c r="C61" t="str">
        <f>'Chemical Data'!C573</f>
        <v>DixonAMD1</v>
      </c>
      <c r="E61" t="str">
        <f>'Chemical Data'!E573</f>
        <v xml:space="preserve">Harris St Discharge in Dixon Run report </v>
      </c>
      <c r="H61" t="str">
        <f>'Chemical Data'!H573</f>
        <v>SFU/ICCD</v>
      </c>
      <c r="J61" s="4">
        <f>IF(ISNUMBER('Chemical Data'!J573),'Chemical Data'!J573,"")</f>
        <v>20.02</v>
      </c>
      <c r="K61" t="str">
        <f>'Chemical Data'!K573</f>
        <v>M</v>
      </c>
      <c r="L61" s="2">
        <f>IF(ISNUMBER('Chemical Data'!L573),'Chemical Data'!L573,"")</f>
        <v>3.21</v>
      </c>
      <c r="M61" s="2">
        <f>IF(ISNUMBER('Chemical Data'!M573),'Chemical Data'!M573,"")</f>
        <v>3</v>
      </c>
      <c r="N61" s="4">
        <f>IF(ISNUMBER('Chemical Data'!N573),'Chemical Data'!N573,"")</f>
        <v>1244</v>
      </c>
      <c r="O61" s="4">
        <f>IF(ISNUMBER('Chemical Data'!O573),'Chemical Data'!O573,"")</f>
        <v>1099</v>
      </c>
      <c r="P61" s="4" t="str">
        <f>IF(ISNUMBER('Chemical Data'!P573),'Chemical Data'!P573,"")</f>
        <v/>
      </c>
      <c r="Q61" s="4">
        <f>IF(ISNUMBER('Chemical Data'!Q573),'Chemical Data'!Q573,"")</f>
        <v>0</v>
      </c>
      <c r="R61" s="4">
        <f>IF(ISNUMBER('Chemical Data'!R573),'Chemical Data'!R573,"")</f>
        <v>0</v>
      </c>
      <c r="S61" s="4">
        <f>IF(ISNUMBER('Chemical Data'!S573),'Chemical Data'!S573,"")</f>
        <v>251.2</v>
      </c>
      <c r="T61" s="4">
        <f>IF(ISNUMBER('Chemical Data'!T573),'Chemical Data'!T573,"")</f>
        <v>197.21547009307409</v>
      </c>
      <c r="U61" s="4"/>
      <c r="W61" s="3">
        <f>IF(ISNUMBER('Chemical Data'!W573),'Chemical Data'!W573,"")</f>
        <v>8.1270000000000007</v>
      </c>
      <c r="X61" s="3">
        <f>IF(ISNUMBER('Chemical Data'!X573),'Chemical Data'!X573,"")</f>
        <v>0.746</v>
      </c>
      <c r="Z61" s="3">
        <f>IF(ISNUMBER('Chemical Data'!Z573),'Chemical Data'!Z573,"")</f>
        <v>25.54</v>
      </c>
      <c r="AA61" s="3">
        <f>IF(ISNUMBER('Chemical Data'!AA573),'Chemical Data'!AA573,"")</f>
        <v>1.7949999999999999</v>
      </c>
      <c r="AB61" s="3">
        <f>IF(ISNUMBER('Chemical Data'!AB573),'Chemical Data'!AB573,"")</f>
        <v>601.11</v>
      </c>
      <c r="AC61" s="3">
        <f>IF(ISNUMBER('Chemical Data'!AC573),'Chemical Data'!AC573,"")</f>
        <v>72.78</v>
      </c>
      <c r="AD61" s="3">
        <f>IF(ISNUMBER('Chemical Data'!AD573),'Chemical Data'!AD573,"")</f>
        <v>34.090000000000003</v>
      </c>
      <c r="AE61" s="3">
        <f>IF(ISNUMBER('Chemical Data'!AE573),'Chemical Data'!AE573,"")</f>
        <v>1.31</v>
      </c>
      <c r="AF61" s="3">
        <f>IF(ISNUMBER('Chemical Data'!AF573),'Chemical Data'!AF573,"")</f>
        <v>1.19</v>
      </c>
      <c r="AG61" s="3">
        <f>IF(ISNUMBER('Chemical Data'!AG573),'Chemical Data'!AG573,"")</f>
        <v>4</v>
      </c>
      <c r="AH61" s="3">
        <f>IF(ISNUMBER('Chemical Data'!AH573),'Chemical Data'!AH573,"")</f>
        <v>0.157</v>
      </c>
      <c r="AI61" s="3">
        <f>IF(ISNUMBER('Chemical Data'!AI573),'Chemical Data'!AI573,"")</f>
        <v>0.26500000000000001</v>
      </c>
      <c r="AJ61" s="3">
        <f>IF(ISNUMBER('Chemical Data'!AJ573),'Chemical Data'!AJ573,"")</f>
        <v>0.2</v>
      </c>
      <c r="AK61" s="3" t="str">
        <f>IF(ISNUMBER('Chemical Data'!AK573),'Chemical Data'!AK573,"")</f>
        <v/>
      </c>
      <c r="AL61" s="3" t="str">
        <f>IF(ISNUMBER('Chemical Data'!AL573),'Chemical Data'!AL573,"")</f>
        <v/>
      </c>
      <c r="AM61" s="3" t="str">
        <f>IF(ISNUMBER('Chemical Data'!AM573),'Chemical Data'!AM573,"")</f>
        <v/>
      </c>
      <c r="AN61" s="3">
        <f>IF(ISNUMBER('Chemical Data'!AN573),'Chemical Data'!AN573,"")</f>
        <v>60.348287999999997</v>
      </c>
      <c r="AO61" s="3">
        <f>IF(ISNUMBER('Chemical Data'!AO573),'Chemical Data'!AO573,"")</f>
        <v>1.9524304800000001</v>
      </c>
      <c r="AP61" s="3">
        <f>IF(ISNUMBER('Chemical Data'!AP573),'Chemical Data'!AP573,"")</f>
        <v>6.1357295999999995</v>
      </c>
      <c r="AQ61" s="3">
        <f>IF(ISNUMBER('Chemical Data'!AQ573),'Chemical Data'!AQ573,"")</f>
        <v>0.43123079999999997</v>
      </c>
      <c r="AR61" s="3">
        <f>IF(ISNUMBER('Chemical Data'!AR573),'Chemical Data'!AR573,"")</f>
        <v>144.4106664</v>
      </c>
      <c r="AS61" s="3">
        <f>IF(ISNUMBER('Chemical Data'!AS573),'Chemical Data'!AS573,"")</f>
        <v>0</v>
      </c>
    </row>
    <row r="62" spans="1:45" x14ac:dyDescent="0.3">
      <c r="A62" s="5">
        <v>45169</v>
      </c>
      <c r="B62" t="str">
        <f>'Chemical Data'!B574</f>
        <v>025</v>
      </c>
      <c r="C62" t="str">
        <f>'Chemical Data'!C574</f>
        <v>DixonAMD1</v>
      </c>
      <c r="E62" t="str">
        <f>'Chemical Data'!E574</f>
        <v xml:space="preserve">Harris St Discharge in Dixon Run report </v>
      </c>
      <c r="H62" t="str">
        <f>'Chemical Data'!H574</f>
        <v>Hedin</v>
      </c>
      <c r="J62" s="4">
        <f>IF(ISNUMBER('Chemical Data'!J574),'Chemical Data'!J574,"")</f>
        <v>33.674999999999997</v>
      </c>
      <c r="K62" t="str">
        <f>'Chemical Data'!K574</f>
        <v>M</v>
      </c>
      <c r="L62" s="2">
        <f>IF(ISNUMBER('Chemical Data'!L574),'Chemical Data'!L574,"")</f>
        <v>2.67</v>
      </c>
      <c r="M62" s="2">
        <f>IF(ISNUMBER('Chemical Data'!M574),'Chemical Data'!M574,"")</f>
        <v>3.1</v>
      </c>
      <c r="N62" s="4">
        <f>IF(ISNUMBER('Chemical Data'!N574),'Chemical Data'!N574,"")</f>
        <v>1142</v>
      </c>
      <c r="O62" s="4">
        <f>IF(ISNUMBER('Chemical Data'!O574),'Chemical Data'!O574,"")</f>
        <v>1091</v>
      </c>
      <c r="P62" s="4">
        <f>IF(ISNUMBER('Chemical Data'!P574),'Chemical Data'!P574,"")</f>
        <v>11.7</v>
      </c>
      <c r="Q62" s="4">
        <f>IF(ISNUMBER('Chemical Data'!Q574),'Chemical Data'!Q574,"")</f>
        <v>0</v>
      </c>
      <c r="R62" s="4">
        <f>IF(ISNUMBER('Chemical Data'!R574),'Chemical Data'!R574,"")</f>
        <v>0</v>
      </c>
      <c r="S62" s="4">
        <f>IF(ISNUMBER('Chemical Data'!S574),'Chemical Data'!S574,"")</f>
        <v>259</v>
      </c>
      <c r="T62" s="4">
        <f>IF(ISNUMBER('Chemical Data'!T574),'Chemical Data'!T574,"")</f>
        <v>295.23382447511159</v>
      </c>
      <c r="U62" s="4"/>
      <c r="W62" s="3">
        <f>IF(ISNUMBER('Chemical Data'!W574),'Chemical Data'!W574,"")</f>
        <v>9.6199999999999992</v>
      </c>
      <c r="X62" s="3">
        <f>IF(ISNUMBER('Chemical Data'!X574),'Chemical Data'!X574,"")</f>
        <v>0.41199999999999998</v>
      </c>
      <c r="Z62" s="3">
        <f>IF(ISNUMBER('Chemical Data'!Z574),'Chemical Data'!Z574,"")</f>
        <v>28.7</v>
      </c>
      <c r="AA62" s="3">
        <f>IF(ISNUMBER('Chemical Data'!AA574),'Chemical Data'!AA574,"")</f>
        <v>1.84</v>
      </c>
      <c r="AB62" s="3">
        <f>IF(ISNUMBER('Chemical Data'!AB574),'Chemical Data'!AB574,"")</f>
        <v>589.70000000000005</v>
      </c>
      <c r="AC62" s="3">
        <f>IF(ISNUMBER('Chemical Data'!AC574),'Chemical Data'!AC574,"")</f>
        <v>81.400000000000006</v>
      </c>
      <c r="AD62" s="3">
        <f>IF(ISNUMBER('Chemical Data'!AD574),'Chemical Data'!AD574,"")</f>
        <v>36.299999999999997</v>
      </c>
      <c r="AE62" s="3">
        <f>IF(ISNUMBER('Chemical Data'!AE574),'Chemical Data'!AE574,"")</f>
        <v>1.49</v>
      </c>
      <c r="AF62" s="3">
        <f>IF(ISNUMBER('Chemical Data'!AF574),'Chemical Data'!AF574,"")</f>
        <v>1.37</v>
      </c>
      <c r="AG62" s="3">
        <f>IF(ISNUMBER('Chemical Data'!AG574),'Chemical Data'!AG574,"")</f>
        <v>4</v>
      </c>
      <c r="AH62" s="3">
        <f>IF(ISNUMBER('Chemical Data'!AH574),'Chemical Data'!AH574,"")</f>
        <v>0.152</v>
      </c>
      <c r="AI62" s="3">
        <f>IF(ISNUMBER('Chemical Data'!AI574),'Chemical Data'!AI574,"")</f>
        <v>0.27200000000000002</v>
      </c>
      <c r="AJ62" s="3">
        <f>IF(ISNUMBER('Chemical Data'!AJ574),'Chemical Data'!AJ574,"")</f>
        <v>0.2</v>
      </c>
      <c r="AK62" s="3" t="str">
        <f>IF(ISNUMBER('Chemical Data'!AK574),'Chemical Data'!AK574,"")</f>
        <v/>
      </c>
      <c r="AL62" s="3" t="str">
        <f>IF(ISNUMBER('Chemical Data'!AL574),'Chemical Data'!AL574,"")</f>
        <v/>
      </c>
      <c r="AM62" s="3" t="str">
        <f>IF(ISNUMBER('Chemical Data'!AM574),'Chemical Data'!AM574,"")</f>
        <v/>
      </c>
      <c r="AN62" s="3">
        <f>IF(ISNUMBER('Chemical Data'!AN574),'Chemical Data'!AN574,"")</f>
        <v>104.66189999999999</v>
      </c>
      <c r="AO62" s="3">
        <f>IF(ISNUMBER('Chemical Data'!AO574),'Chemical Data'!AO574,"")</f>
        <v>3.8874419999999996</v>
      </c>
      <c r="AP62" s="3">
        <f>IF(ISNUMBER('Chemical Data'!AP574),'Chemical Data'!AP574,"")</f>
        <v>11.597669999999999</v>
      </c>
      <c r="AQ62" s="3">
        <f>IF(ISNUMBER('Chemical Data'!AQ574),'Chemical Data'!AQ574,"")</f>
        <v>0.74354399999999998</v>
      </c>
      <c r="AR62" s="3">
        <f>IF(ISNUMBER('Chemical Data'!AR574),'Chemical Data'!AR574,"")</f>
        <v>238.29776999999999</v>
      </c>
      <c r="AS62" s="3">
        <f>IF(ISNUMBER('Chemical Data'!AS574),'Chemical Data'!AS574,"")</f>
        <v>0</v>
      </c>
    </row>
    <row r="63" spans="1:45" x14ac:dyDescent="0.3">
      <c r="A63" s="5">
        <f>'Chemical Data'!A575</f>
        <v>45366</v>
      </c>
      <c r="B63" t="str">
        <f>'Chemical Data'!B575</f>
        <v>007</v>
      </c>
      <c r="C63" t="str">
        <f>'Chemical Data'!C575</f>
        <v>DixonAMD1</v>
      </c>
      <c r="E63" t="str">
        <f>'Chemical Data'!E575</f>
        <v xml:space="preserve">Harris St Discharge in Dixon Run report </v>
      </c>
      <c r="H63" t="str">
        <f>'Chemical Data'!H575</f>
        <v>Hedin/ICCD</v>
      </c>
      <c r="J63" s="4">
        <f>IF(ISNUMBER('Chemical Data'!J575),'Chemical Data'!J575,"")</f>
        <v>86</v>
      </c>
      <c r="K63" t="str">
        <f>'Chemical Data'!K575</f>
        <v>M</v>
      </c>
      <c r="L63" s="2">
        <f>IF(ISNUMBER('Chemical Data'!L575),'Chemical Data'!L575,"")</f>
        <v>2.4700000000000002</v>
      </c>
      <c r="M63" s="2">
        <f>IF(ISNUMBER('Chemical Data'!M575),'Chemical Data'!M575,"")</f>
        <v>3.3</v>
      </c>
      <c r="N63" s="4">
        <f>IF(ISNUMBER('Chemical Data'!N575),'Chemical Data'!N575,"")</f>
        <v>753</v>
      </c>
      <c r="O63" s="4" t="str">
        <f>IF(ISNUMBER('Chemical Data'!O575),'Chemical Data'!O575,"")</f>
        <v/>
      </c>
      <c r="P63" s="4">
        <f>IF(ISNUMBER('Chemical Data'!P575),'Chemical Data'!P575,"")</f>
        <v>10.1</v>
      </c>
      <c r="Q63" s="4" t="str">
        <f>IF(ISNUMBER('Chemical Data'!Q575),'Chemical Data'!Q575,"")</f>
        <v/>
      </c>
      <c r="R63" s="4">
        <f>IF(ISNUMBER('Chemical Data'!R575),'Chemical Data'!R575,"")</f>
        <v>0</v>
      </c>
      <c r="S63" s="4">
        <f>IF(ISNUMBER('Chemical Data'!S575),'Chemical Data'!S575,"")</f>
        <v>149</v>
      </c>
      <c r="T63" s="4">
        <f>IF(ISNUMBER('Chemical Data'!T575),'Chemical Data'!T575,"")</f>
        <v>270.10426806960106</v>
      </c>
      <c r="U63" s="4"/>
      <c r="W63" s="3">
        <f>IF(ISNUMBER('Chemical Data'!W575),'Chemical Data'!W575,"")</f>
        <v>6.6959999999999997</v>
      </c>
      <c r="X63" s="3">
        <f>IF(ISNUMBER('Chemical Data'!X575),'Chemical Data'!X575,"")</f>
        <v>0.48899999999999999</v>
      </c>
      <c r="Z63" s="3">
        <f>IF(ISNUMBER('Chemical Data'!Z575),'Chemical Data'!Z575,"")</f>
        <v>14.614000000000001</v>
      </c>
      <c r="AA63" s="3">
        <f>IF(ISNUMBER('Chemical Data'!AA575),'Chemical Data'!AA575,"")</f>
        <v>1.054</v>
      </c>
      <c r="AB63" s="3">
        <f>IF(ISNUMBER('Chemical Data'!AB575),'Chemical Data'!AB575,"")</f>
        <v>297.7</v>
      </c>
      <c r="AC63" s="3" t="str">
        <f>IF(ISNUMBER('Chemical Data'!AC575),'Chemical Data'!AC575,"")</f>
        <v/>
      </c>
      <c r="AD63" s="3" t="str">
        <f>IF(ISNUMBER('Chemical Data'!AD575),'Chemical Data'!AD575,"")</f>
        <v/>
      </c>
      <c r="AE63" s="3" t="str">
        <f>IF(ISNUMBER('Chemical Data'!AE575),'Chemical Data'!AE575,"")</f>
        <v/>
      </c>
      <c r="AF63" s="3" t="str">
        <f>IF(ISNUMBER('Chemical Data'!AF575),'Chemical Data'!AF575,"")</f>
        <v/>
      </c>
      <c r="AG63" s="3" t="str">
        <f>IF(ISNUMBER('Chemical Data'!AG575),'Chemical Data'!AG575,"")</f>
        <v/>
      </c>
      <c r="AH63" s="3" t="str">
        <f>IF(ISNUMBER('Chemical Data'!AH575),'Chemical Data'!AH575,"")</f>
        <v/>
      </c>
      <c r="AI63" s="3" t="str">
        <f>IF(ISNUMBER('Chemical Data'!AI575),'Chemical Data'!AI575,"")</f>
        <v/>
      </c>
      <c r="AJ63" s="3" t="str">
        <f>IF(ISNUMBER('Chemical Data'!AJ575),'Chemical Data'!AJ575,"")</f>
        <v/>
      </c>
      <c r="AK63" s="3" t="str">
        <f>IF(ISNUMBER('Chemical Data'!AK575),'Chemical Data'!AK575,"")</f>
        <v/>
      </c>
      <c r="AL63" s="3">
        <f>IF(ISNUMBER('Chemical Data'!AL575),'Chemical Data'!AL575,"")</f>
        <v>458</v>
      </c>
      <c r="AM63" s="3" t="str">
        <f>IF(ISNUMBER('Chemical Data'!AM575),'Chemical Data'!AM575,"")</f>
        <v/>
      </c>
      <c r="AN63" s="3">
        <f>IF(ISNUMBER('Chemical Data'!AN575),'Chemical Data'!AN575,"")</f>
        <v>153.768</v>
      </c>
      <c r="AO63" s="3">
        <f>IF(ISNUMBER('Chemical Data'!AO575),'Chemical Data'!AO575,"")</f>
        <v>6.910272</v>
      </c>
      <c r="AP63" s="3">
        <f>IF(ISNUMBER('Chemical Data'!AP575),'Chemical Data'!AP575,"")</f>
        <v>15.081648000000001</v>
      </c>
      <c r="AQ63" s="3">
        <f>IF(ISNUMBER('Chemical Data'!AQ575),'Chemical Data'!AQ575,"")</f>
        <v>1.087728</v>
      </c>
      <c r="AR63" s="3">
        <f>IF(ISNUMBER('Chemical Data'!AR575),'Chemical Data'!AR575,"")</f>
        <v>307.22640000000001</v>
      </c>
      <c r="AS63" s="3">
        <f>IF(ISNUMBER('Chemical Data'!AS575),'Chemical Data'!AS575,"")</f>
        <v>0</v>
      </c>
    </row>
    <row r="64" spans="1:45" x14ac:dyDescent="0.3">
      <c r="A64" s="5">
        <f>'Chemical Data'!A576</f>
        <v>45392</v>
      </c>
      <c r="B64" s="5" t="str">
        <f>'Chemical Data'!B576</f>
        <v>007</v>
      </c>
      <c r="C64" s="5" t="str">
        <f>'Chemical Data'!C576</f>
        <v>DixonAMD1</v>
      </c>
      <c r="D64" s="5"/>
      <c r="E64" s="5" t="str">
        <f>'Chemical Data'!E576</f>
        <v xml:space="preserve">Harris St Discharge in Dixon Run report </v>
      </c>
      <c r="F64" s="5"/>
      <c r="G64" s="5"/>
      <c r="H64" s="5" t="str">
        <f>'Chemical Data'!H576</f>
        <v>Hedin/ICCD</v>
      </c>
      <c r="I64" s="4"/>
      <c r="J64" s="4">
        <f>IF(ISNUMBER('Chemical Data'!J576),'Chemical Data'!J576,"")</f>
        <v>158.6</v>
      </c>
      <c r="K64" s="4" t="str">
        <f>'Chemical Data'!K576</f>
        <v>M</v>
      </c>
      <c r="L64" s="2">
        <f>IF(ISNUMBER('Chemical Data'!L576),'Chemical Data'!L576,"")</f>
        <v>2.5</v>
      </c>
      <c r="M64" s="2">
        <f>IF(ISNUMBER('Chemical Data'!M576),'Chemical Data'!M576,"")</f>
        <v>2.9</v>
      </c>
      <c r="N64" s="4">
        <f>IF(ISNUMBER('Chemical Data'!N576),'Chemical Data'!N576,"")</f>
        <v>1377</v>
      </c>
      <c r="O64" s="4" t="str">
        <f>IF(ISNUMBER('Chemical Data'!O576),'Chemical Data'!O576,"")</f>
        <v/>
      </c>
      <c r="P64" s="4">
        <f>IF(ISNUMBER('Chemical Data'!P576),'Chemical Data'!P576,"")</f>
        <v>11.6</v>
      </c>
      <c r="Q64" s="4">
        <f>IF(ISNUMBER('Chemical Data'!Q576),'Chemical Data'!Q576,"")</f>
        <v>0</v>
      </c>
      <c r="R64" s="4">
        <f>IF(ISNUMBER('Chemical Data'!R576),'Chemical Data'!R576,"")</f>
        <v>0</v>
      </c>
      <c r="S64" s="4">
        <f>IF(ISNUMBER('Chemical Data'!S576),'Chemical Data'!S576,"")</f>
        <v>364.4</v>
      </c>
      <c r="T64" s="4">
        <f>IF(ISNUMBER('Chemical Data'!T576),'Chemical Data'!T576,"")</f>
        <v>445.06431300841882</v>
      </c>
      <c r="U64" s="4"/>
      <c r="W64" s="22">
        <f>IF(ISNUMBER('Chemical Data'!W576),'Chemical Data'!W576,"")</f>
        <v>35.82</v>
      </c>
      <c r="X64" s="3">
        <f>IF(ISNUMBER('Chemical Data'!X576),'Chemical Data'!X576,"")</f>
        <v>0.78100000000000003</v>
      </c>
      <c r="Z64" s="3">
        <f>IF(ISNUMBER('Chemical Data'!Z576),'Chemical Data'!Z576,"")</f>
        <v>33.670999999999999</v>
      </c>
      <c r="AA64" s="3">
        <f>IF(ISNUMBER('Chemical Data'!AA576),'Chemical Data'!AA576,"")</f>
        <v>2.4380000000000002</v>
      </c>
      <c r="AB64" s="3">
        <f>IF(ISNUMBER('Chemical Data'!AB576),'Chemical Data'!AB576,"")</f>
        <v>661.3</v>
      </c>
      <c r="AC64" s="3" t="str">
        <f>IF(ISNUMBER('Chemical Data'!AC576),'Chemical Data'!AC576,"")</f>
        <v/>
      </c>
      <c r="AD64" s="3" t="str">
        <f>IF(ISNUMBER('Chemical Data'!AD576),'Chemical Data'!AD576,"")</f>
        <v/>
      </c>
      <c r="AE64" s="3" t="str">
        <f>IF(ISNUMBER('Chemical Data'!AE576),'Chemical Data'!AE576,"")</f>
        <v/>
      </c>
      <c r="AF64" s="3" t="str">
        <f>IF(ISNUMBER('Chemical Data'!AF576),'Chemical Data'!AF576,"")</f>
        <v/>
      </c>
      <c r="AG64" s="3" t="str">
        <f>IF(ISNUMBER('Chemical Data'!AG576),'Chemical Data'!AG576,"")</f>
        <v/>
      </c>
      <c r="AH64" s="3" t="str">
        <f>IF(ISNUMBER('Chemical Data'!AH576),'Chemical Data'!AH576,"")</f>
        <v/>
      </c>
      <c r="AI64" s="3" t="str">
        <f>IF(ISNUMBER('Chemical Data'!AI576),'Chemical Data'!AI576,"")</f>
        <v/>
      </c>
      <c r="AJ64" s="3" t="str">
        <f>IF(ISNUMBER('Chemical Data'!AJ576),'Chemical Data'!AJ576,"")</f>
        <v/>
      </c>
      <c r="AK64" s="3" t="str">
        <f>IF(ISNUMBER('Chemical Data'!AK576),'Chemical Data'!AK576,"")</f>
        <v/>
      </c>
      <c r="AL64" s="3">
        <f>IF(ISNUMBER('Chemical Data'!AL576),'Chemical Data'!AL576,"")</f>
        <v>1044</v>
      </c>
      <c r="AM64" s="3" t="str">
        <f>IF(ISNUMBER('Chemical Data'!AM576),'Chemical Data'!AM576,"")</f>
        <v/>
      </c>
      <c r="AN64" s="3">
        <f>IF(ISNUMBER('Chemical Data'!AN576),'Chemical Data'!AN576,"")</f>
        <v>693.52607999999998</v>
      </c>
      <c r="AO64" s="3">
        <f>IF(ISNUMBER('Chemical Data'!AO576),'Chemical Data'!AO576,"")</f>
        <v>68.172623999999999</v>
      </c>
      <c r="AP64" s="3">
        <f>IF(ISNUMBER('Chemical Data'!AP576),'Chemical Data'!AP576,"")</f>
        <v>64.082647199999997</v>
      </c>
      <c r="AQ64" s="3">
        <f>IF(ISNUMBER('Chemical Data'!AQ576),'Chemical Data'!AQ576,"")</f>
        <v>4.6400016000000006</v>
      </c>
      <c r="AR64" s="3">
        <f>IF(ISNUMBER('Chemical Data'!AR576),'Chemical Data'!AR576,"")</f>
        <v>1258.5861599999998</v>
      </c>
      <c r="AS64" s="3">
        <f>IF(ISNUMBER('Chemical Data'!AS576),'Chemical Data'!AS576,"")</f>
        <v>0</v>
      </c>
    </row>
    <row r="65" spans="1:45" x14ac:dyDescent="0.3">
      <c r="A65" s="5">
        <f>'Chemical Data'!A577</f>
        <v>45442</v>
      </c>
      <c r="B65" s="5" t="str">
        <f>'Chemical Data'!B577</f>
        <v>007</v>
      </c>
      <c r="C65" s="5" t="str">
        <f>'Chemical Data'!C577</f>
        <v>DixonAMD1</v>
      </c>
      <c r="D65" s="5"/>
      <c r="E65" s="5" t="str">
        <f>'Chemical Data'!E577</f>
        <v xml:space="preserve">Harris St Discharge in Dixon Run report </v>
      </c>
      <c r="F65" s="5"/>
      <c r="G65" s="5"/>
      <c r="H65" s="5" t="str">
        <f>'Chemical Data'!H577</f>
        <v>Hedin/ICCD</v>
      </c>
      <c r="I65" s="4"/>
      <c r="J65" s="4">
        <f>IF(ISNUMBER('Chemical Data'!J577),'Chemical Data'!J577,"")</f>
        <v>50.33</v>
      </c>
      <c r="K65" s="4" t="str">
        <f>'Chemical Data'!K577</f>
        <v>M</v>
      </c>
      <c r="L65" s="2">
        <f>IF(ISNUMBER('Chemical Data'!L577),'Chemical Data'!L577,"")</f>
        <v>2.9</v>
      </c>
      <c r="M65" s="2">
        <f>IF(ISNUMBER('Chemical Data'!M577),'Chemical Data'!M577,"")</f>
        <v>3.1</v>
      </c>
      <c r="N65" s="4">
        <f>IF(ISNUMBER('Chemical Data'!N577),'Chemical Data'!N577,"")</f>
        <v>1074</v>
      </c>
      <c r="O65" s="4" t="str">
        <f>IF(ISNUMBER('Chemical Data'!O577),'Chemical Data'!O577,"")</f>
        <v/>
      </c>
      <c r="P65" s="4">
        <f>IF(ISNUMBER('Chemical Data'!P577),'Chemical Data'!P577,"")</f>
        <v>11.2</v>
      </c>
      <c r="Q65" s="4">
        <f>IF(ISNUMBER('Chemical Data'!Q577),'Chemical Data'!Q577,"")</f>
        <v>0</v>
      </c>
      <c r="R65" s="4">
        <f>IF(ISNUMBER('Chemical Data'!R577),'Chemical Data'!R577,"")</f>
        <v>0</v>
      </c>
      <c r="S65" s="4">
        <f>IF(ISNUMBER('Chemical Data'!S577),'Chemical Data'!S577,"")</f>
        <v>223.4</v>
      </c>
      <c r="T65" s="4">
        <f>IF(ISNUMBER('Chemical Data'!T577),'Chemical Data'!T577,"")</f>
        <v>211.85789058970832</v>
      </c>
      <c r="U65" s="4"/>
      <c r="W65" s="3">
        <f>IF(ISNUMBER('Chemical Data'!W577),'Chemical Data'!W577,"")</f>
        <v>8.9320000000000004</v>
      </c>
      <c r="X65" s="3">
        <f>IF(ISNUMBER('Chemical Data'!X577),'Chemical Data'!X577,"")</f>
        <v>0.59199999999999997</v>
      </c>
      <c r="Z65" s="3">
        <f>IF(ISNUMBER('Chemical Data'!Z577),'Chemical Data'!Z577,"")</f>
        <v>22.012</v>
      </c>
      <c r="AA65" s="3">
        <f>IF(ISNUMBER('Chemical Data'!AA577),'Chemical Data'!AA577,"")</f>
        <v>1.7110000000000001</v>
      </c>
      <c r="AB65" s="3">
        <f>IF(ISNUMBER('Chemical Data'!AB577),'Chemical Data'!AB577,"")</f>
        <v>475.2</v>
      </c>
      <c r="AC65" s="3" t="str">
        <f>IF(ISNUMBER('Chemical Data'!AC577),'Chemical Data'!AC577,"")</f>
        <v/>
      </c>
      <c r="AD65" s="3" t="str">
        <f>IF(ISNUMBER('Chemical Data'!AD577),'Chemical Data'!AD577,"")</f>
        <v/>
      </c>
      <c r="AE65" s="3" t="str">
        <f>IF(ISNUMBER('Chemical Data'!AE577),'Chemical Data'!AE577,"")</f>
        <v/>
      </c>
      <c r="AF65" s="3" t="str">
        <f>IF(ISNUMBER('Chemical Data'!AF577),'Chemical Data'!AF577,"")</f>
        <v/>
      </c>
      <c r="AG65" s="3" t="str">
        <f>IF(ISNUMBER('Chemical Data'!AG577),'Chemical Data'!AG577,"")</f>
        <v/>
      </c>
      <c r="AH65" s="3" t="str">
        <f>IF(ISNUMBER('Chemical Data'!AH577),'Chemical Data'!AH577,"")</f>
        <v/>
      </c>
      <c r="AI65" s="3" t="str">
        <f>IF(ISNUMBER('Chemical Data'!AI577),'Chemical Data'!AI577,"")</f>
        <v/>
      </c>
      <c r="AJ65" s="3" t="str">
        <f>IF(ISNUMBER('Chemical Data'!AJ577),'Chemical Data'!AJ577,"")</f>
        <v/>
      </c>
      <c r="AK65" s="3" t="str">
        <f>IF(ISNUMBER('Chemical Data'!AK577),'Chemical Data'!AK577,"")</f>
        <v/>
      </c>
      <c r="AL65" s="3">
        <f>IF(ISNUMBER('Chemical Data'!AL577),'Chemical Data'!AL577,"")</f>
        <v>878</v>
      </c>
      <c r="AM65" s="3" t="str">
        <f>IF(ISNUMBER('Chemical Data'!AM577),'Chemical Data'!AM577,"")</f>
        <v/>
      </c>
      <c r="AN65" s="3">
        <f>IF(ISNUMBER('Chemical Data'!AN577),'Chemical Data'!AN577,"")</f>
        <v>134.92466400000001</v>
      </c>
      <c r="AO65" s="3">
        <f>IF(ISNUMBER('Chemical Data'!AO577),'Chemical Data'!AO577,"")</f>
        <v>5.3945707199999999</v>
      </c>
      <c r="AP65" s="3">
        <f>IF(ISNUMBER('Chemical Data'!AP577),'Chemical Data'!AP577,"")</f>
        <v>13.29436752</v>
      </c>
      <c r="AQ65" s="3">
        <f>IF(ISNUMBER('Chemical Data'!AQ577),'Chemical Data'!AQ577,"")</f>
        <v>1.0333755600000001</v>
      </c>
      <c r="AR65" s="3">
        <f>IF(ISNUMBER('Chemical Data'!AR577),'Chemical Data'!AR577,"")</f>
        <v>287.00179199999997</v>
      </c>
      <c r="AS65" s="3">
        <f>IF(ISNUMBER('Chemical Data'!AS577),'Chemical Data'!AS577,"")</f>
        <v>0</v>
      </c>
    </row>
    <row r="66" spans="1:45" x14ac:dyDescent="0.3">
      <c r="A66" s="5">
        <v>45461</v>
      </c>
      <c r="B66">
        <v>6</v>
      </c>
      <c r="C66" s="5" t="str">
        <f>'Chemical Data'!C578</f>
        <v>DixonAMD1</v>
      </c>
      <c r="D66" s="5"/>
      <c r="E66" s="5" t="str">
        <f>'Chemical Data'!E578</f>
        <v xml:space="preserve">Harris St Discharge in Dixon Run report </v>
      </c>
      <c r="F66" s="5"/>
      <c r="G66" s="5"/>
      <c r="H66" s="5" t="str">
        <f>'Chemical Data'!H578</f>
        <v>Hedin/ICCD</v>
      </c>
      <c r="I66" s="4"/>
      <c r="J66" s="4">
        <f>IF(ISNUMBER('Chemical Data'!J578),'Chemical Data'!J578,"")</f>
        <v>30.75</v>
      </c>
      <c r="K66" s="4" t="s">
        <v>96</v>
      </c>
      <c r="L66" s="2">
        <f>IF(ISNUMBER('Chemical Data'!L578),'Chemical Data'!L578,"")</f>
        <v>2.59</v>
      </c>
      <c r="M66" s="2">
        <f>IF(ISNUMBER('Chemical Data'!M578),'Chemical Data'!M578,"")</f>
        <v>3.1</v>
      </c>
      <c r="N66" s="4">
        <f>IF(ISNUMBER('Chemical Data'!N578),'Chemical Data'!N578,"")</f>
        <v>1269</v>
      </c>
      <c r="O66" s="4" t="str">
        <f>IF(ISNUMBER('Chemical Data'!O578),'Chemical Data'!O578,"")</f>
        <v/>
      </c>
      <c r="P66" s="4">
        <f>IF(ISNUMBER('Chemical Data'!P578),'Chemical Data'!P578,"")</f>
        <v>12.1</v>
      </c>
      <c r="Q66" s="4">
        <f>IF(ISNUMBER('Chemical Data'!Q578),'Chemical Data'!Q578,"")</f>
        <v>0</v>
      </c>
      <c r="R66" s="4">
        <f>IF(ISNUMBER('Chemical Data'!R578),'Chemical Data'!R578,"")</f>
        <v>0</v>
      </c>
      <c r="S66" s="4">
        <f>IF(ISNUMBER('Chemical Data'!S578),'Chemical Data'!S578,"")</f>
        <v>252.8</v>
      </c>
      <c r="T66" s="4">
        <f>IF(ISNUMBER('Chemical Data'!T578),'Chemical Data'!T578,"")</f>
        <v>300.40434913844319</v>
      </c>
      <c r="U66" s="4" t="str">
        <f>IF(ISNUMBER('Chemical Data'!U578),'Chemical Data'!U578,"")</f>
        <v/>
      </c>
      <c r="V66" s="4" t="str">
        <f>IF(ISNUMBER('Chemical Data'!V578),'Chemical Data'!V578,"")</f>
        <v/>
      </c>
      <c r="W66" s="3">
        <f>IF(ISNUMBER('Chemical Data'!W578),'Chemical Data'!W578,"")</f>
        <v>8.4440000000000008</v>
      </c>
      <c r="X66" s="3">
        <f>IF(ISNUMBER('Chemical Data'!X578),'Chemical Data'!X578,"")</f>
        <v>0.6</v>
      </c>
      <c r="Z66" s="3">
        <f>IF(ISNUMBER('Chemical Data'!Z578),'Chemical Data'!Z578,"")</f>
        <v>26.289000000000001</v>
      </c>
      <c r="AA66" s="3">
        <f>IF(ISNUMBER('Chemical Data'!AA578),'Chemical Data'!AA578,"")</f>
        <v>1.99</v>
      </c>
      <c r="AB66" s="4">
        <f>IF(ISNUMBER('Chemical Data'!AB578),'Chemical Data'!AB578,"")</f>
        <v>544.1</v>
      </c>
      <c r="AC66" s="4" t="str">
        <f>IF(ISNUMBER('Chemical Data'!AC578),'Chemical Data'!AC578,"")</f>
        <v/>
      </c>
      <c r="AD66" s="4" t="str">
        <f>IF(ISNUMBER('Chemical Data'!AD578),'Chemical Data'!AD578,"")</f>
        <v/>
      </c>
      <c r="AE66" s="4" t="str">
        <f>IF(ISNUMBER('Chemical Data'!AE578),'Chemical Data'!AE578,"")</f>
        <v/>
      </c>
      <c r="AF66" s="4" t="str">
        <f>IF(ISNUMBER('Chemical Data'!AF578),'Chemical Data'!AF578,"")</f>
        <v/>
      </c>
      <c r="AG66" s="4" t="str">
        <f>IF(ISNUMBER('Chemical Data'!AG578),'Chemical Data'!AG578,"")</f>
        <v/>
      </c>
      <c r="AH66" s="4" t="str">
        <f>IF(ISNUMBER('Chemical Data'!AH578),'Chemical Data'!AH578,"")</f>
        <v/>
      </c>
      <c r="AI66" s="4" t="str">
        <f>IF(ISNUMBER('Chemical Data'!AI578),'Chemical Data'!AI578,"")</f>
        <v/>
      </c>
      <c r="AJ66" s="4" t="str">
        <f>IF(ISNUMBER('Chemical Data'!AJ578),'Chemical Data'!AJ578,"")</f>
        <v/>
      </c>
      <c r="AK66" s="4" t="str">
        <f>IF(ISNUMBER('Chemical Data'!AK578),'Chemical Data'!AK578,"")</f>
        <v/>
      </c>
      <c r="AL66" s="4">
        <f>IF(ISNUMBER('Chemical Data'!AL578),'Chemical Data'!AL578,"")</f>
        <v>944</v>
      </c>
      <c r="AM66" s="4" t="str">
        <f>IF(ISNUMBER('Chemical Data'!AM578),'Chemical Data'!AM578,"")</f>
        <v/>
      </c>
      <c r="AN66" s="4">
        <f>IF(ISNUMBER('Chemical Data'!AN578),'Chemical Data'!AN578,"")</f>
        <v>93.283200000000008</v>
      </c>
      <c r="AO66" s="4">
        <f>IF(ISNUMBER('Chemical Data'!AO578),'Chemical Data'!AO578,"")</f>
        <v>3.1158360000000003</v>
      </c>
      <c r="AP66" s="4">
        <f>IF(ISNUMBER('Chemical Data'!AP578),'Chemical Data'!AP578,"")</f>
        <v>9.700641000000001</v>
      </c>
      <c r="AQ66" s="4">
        <f>IF(ISNUMBER('Chemical Data'!AQ578),'Chemical Data'!AQ578,"")</f>
        <v>0.73431000000000002</v>
      </c>
      <c r="AR66" s="4">
        <f>IF(ISNUMBER('Chemical Data'!AR578),'Chemical Data'!AR578,"")</f>
        <v>200.77290000000002</v>
      </c>
      <c r="AS66" s="4">
        <f>IF(ISNUMBER('Chemical Data'!AS578),'Chemical Data'!AS578,"")</f>
        <v>0</v>
      </c>
    </row>
    <row r="67" spans="1:45" x14ac:dyDescent="0.3">
      <c r="A67" s="5">
        <v>45483</v>
      </c>
      <c r="B67">
        <v>6</v>
      </c>
      <c r="C67" s="5" t="str">
        <f>'Chemical Data'!C579</f>
        <v>DixonAMD1</v>
      </c>
      <c r="D67" s="5"/>
      <c r="E67" s="5" t="str">
        <f>'Chemical Data'!E579</f>
        <v xml:space="preserve">Harris St Discharge in Dixon Run report </v>
      </c>
      <c r="F67" s="5"/>
      <c r="G67" s="5"/>
      <c r="H67" s="5" t="str">
        <f>'Chemical Data'!H579</f>
        <v>Hedin/ICCD</v>
      </c>
      <c r="I67" s="4"/>
      <c r="J67" s="4">
        <f>IF(ISNUMBER('Chemical Data'!J579),'Chemical Data'!J579,"")</f>
        <v>22.7</v>
      </c>
      <c r="K67" s="4" t="s">
        <v>96</v>
      </c>
      <c r="L67" s="2">
        <f>IF(ISNUMBER('Chemical Data'!L579),'Chemical Data'!L579,"")</f>
        <v>2.92</v>
      </c>
      <c r="M67" s="2">
        <f>IF(ISNUMBER('Chemical Data'!M579),'Chemical Data'!M579,"")</f>
        <v>3.1</v>
      </c>
      <c r="N67" s="4">
        <f>IF(ISNUMBER('Chemical Data'!N579),'Chemical Data'!N579,"")</f>
        <v>1514</v>
      </c>
      <c r="O67" s="4" t="str">
        <f>IF(ISNUMBER('Chemical Data'!O579),'Chemical Data'!O579,"")</f>
        <v/>
      </c>
      <c r="P67" s="4">
        <f>IF(ISNUMBER('Chemical Data'!P579),'Chemical Data'!P579,"")</f>
        <v>12.4</v>
      </c>
      <c r="Q67" s="4">
        <f>IF(ISNUMBER('Chemical Data'!Q579),'Chemical Data'!Q579,"")</f>
        <v>0</v>
      </c>
      <c r="R67" s="4">
        <f>IF(ISNUMBER('Chemical Data'!R579),'Chemical Data'!R579,"")</f>
        <v>0</v>
      </c>
      <c r="S67" s="4">
        <f>IF(ISNUMBER('Chemical Data'!S579),'Chemical Data'!S579,"")</f>
        <v>328.8</v>
      </c>
      <c r="T67" s="4">
        <f>IF(ISNUMBER('Chemical Data'!T579),'Chemical Data'!T579,"")</f>
        <v>295.65320173087065</v>
      </c>
      <c r="U67" s="4" t="str">
        <f>IF(ISNUMBER('Chemical Data'!U579),'Chemical Data'!U579,"")</f>
        <v/>
      </c>
      <c r="V67" s="4" t="str">
        <f>IF(ISNUMBER('Chemical Data'!V579),'Chemical Data'!V579,"")</f>
        <v/>
      </c>
      <c r="W67" s="3">
        <f>IF(ISNUMBER('Chemical Data'!W579),'Chemical Data'!W579,"")</f>
        <v>9.1460000000000008</v>
      </c>
      <c r="X67" s="3">
        <f>IF(ISNUMBER('Chemical Data'!X579),'Chemical Data'!X579,"")</f>
        <v>0.36599999999999999</v>
      </c>
      <c r="Z67" s="3">
        <f>IF(ISNUMBER('Chemical Data'!Z579),'Chemical Data'!Z579,"")</f>
        <v>37.161000000000001</v>
      </c>
      <c r="AA67" s="3">
        <f>IF(ISNUMBER('Chemical Data'!AA579),'Chemical Data'!AA579,"")</f>
        <v>2.6040000000000001</v>
      </c>
      <c r="AB67" s="4">
        <f>IF(ISNUMBER('Chemical Data'!AB579),'Chemical Data'!AB579,"")</f>
        <v>729.5</v>
      </c>
      <c r="AC67" s="4" t="str">
        <f>IF(ISNUMBER('Chemical Data'!AC579),'Chemical Data'!AC579,"")</f>
        <v/>
      </c>
      <c r="AD67" s="4" t="str">
        <f>IF(ISNUMBER('Chemical Data'!AD579),'Chemical Data'!AD579,"")</f>
        <v/>
      </c>
      <c r="AE67" s="4" t="str">
        <f>IF(ISNUMBER('Chemical Data'!AE579),'Chemical Data'!AE579,"")</f>
        <v/>
      </c>
      <c r="AF67" s="4" t="str">
        <f>IF(ISNUMBER('Chemical Data'!AF579),'Chemical Data'!AF579,"")</f>
        <v/>
      </c>
      <c r="AG67" s="4" t="str">
        <f>IF(ISNUMBER('Chemical Data'!AG579),'Chemical Data'!AG579,"")</f>
        <v/>
      </c>
      <c r="AH67" s="4" t="str">
        <f>IF(ISNUMBER('Chemical Data'!AH579),'Chemical Data'!AH579,"")</f>
        <v/>
      </c>
      <c r="AI67" s="4" t="str">
        <f>IF(ISNUMBER('Chemical Data'!AI579),'Chemical Data'!AI579,"")</f>
        <v/>
      </c>
      <c r="AJ67" s="4" t="str">
        <f>IF(ISNUMBER('Chemical Data'!AJ579),'Chemical Data'!AJ579,"")</f>
        <v/>
      </c>
      <c r="AK67" s="4" t="str">
        <f>IF(ISNUMBER('Chemical Data'!AK579),'Chemical Data'!AK579,"")</f>
        <v/>
      </c>
      <c r="AL67" s="4">
        <f>IF(ISNUMBER('Chemical Data'!AL579),'Chemical Data'!AL579,"")</f>
        <v>1162</v>
      </c>
      <c r="AM67" s="4" t="str">
        <f>IF(ISNUMBER('Chemical Data'!AM579),'Chemical Data'!AM579,"")</f>
        <v/>
      </c>
      <c r="AN67" s="4">
        <f>IF(ISNUMBER('Chemical Data'!AN579),'Chemical Data'!AN579,"")</f>
        <v>89.565120000000007</v>
      </c>
      <c r="AO67" s="4">
        <f>IF(ISNUMBER('Chemical Data'!AO579),'Chemical Data'!AO579,"")</f>
        <v>2.4913704000000001</v>
      </c>
      <c r="AP67" s="4">
        <f>IF(ISNUMBER('Chemical Data'!AP579),'Chemical Data'!AP579,"")</f>
        <v>10.1226564</v>
      </c>
      <c r="AQ67" s="4">
        <f>IF(ISNUMBER('Chemical Data'!AQ579),'Chemical Data'!AQ579,"")</f>
        <v>0.7093296</v>
      </c>
      <c r="AR67" s="4">
        <f>IF(ISNUMBER('Chemical Data'!AR579),'Chemical Data'!AR579,"")</f>
        <v>198.71579999999997</v>
      </c>
      <c r="AS67" s="4">
        <f>IF(ISNUMBER('Chemical Data'!AS579),'Chemical Data'!AS579,"")</f>
        <v>0</v>
      </c>
    </row>
    <row r="68" spans="1:45" x14ac:dyDescent="0.3">
      <c r="A68" s="5">
        <v>45527</v>
      </c>
      <c r="C68" s="5" t="str">
        <f>'Chemical Data'!C580</f>
        <v>DixonAMD1</v>
      </c>
      <c r="D68" s="5"/>
      <c r="E68" s="5" t="str">
        <f>'Chemical Data'!E580</f>
        <v xml:space="preserve">Harris St Discharge in Dixon Run report </v>
      </c>
      <c r="F68" s="5"/>
      <c r="G68" s="5"/>
      <c r="H68" s="5" t="str">
        <f>'Chemical Data'!H580</f>
        <v>Hedin/ICCD</v>
      </c>
      <c r="I68" s="4"/>
      <c r="J68" s="4">
        <f>IF(ISNUMBER('Chemical Data'!J580),'Chemical Data'!J580,"")</f>
        <v>23</v>
      </c>
      <c r="K68" s="4" t="s">
        <v>96</v>
      </c>
      <c r="L68" s="2">
        <f>IF(ISNUMBER('Chemical Data'!L580),'Chemical Data'!L580,"")</f>
        <v>3.3</v>
      </c>
      <c r="M68" s="2">
        <f>IF(ISNUMBER('Chemical Data'!M580),'Chemical Data'!M580,"")</f>
        <v>3.1</v>
      </c>
      <c r="N68" s="4">
        <f>IF(ISNUMBER('Chemical Data'!N580),'Chemical Data'!N580,"")</f>
        <v>1357</v>
      </c>
      <c r="O68" s="2" t="str">
        <f>IF(ISNUMBER('Chemical Data'!O580),'Chemical Data'!O580,"")</f>
        <v/>
      </c>
      <c r="P68" s="2" t="str">
        <f>IF(ISNUMBER('Chemical Data'!P580),'Chemical Data'!P580,"")</f>
        <v/>
      </c>
      <c r="Q68" s="4">
        <f>IF(ISNUMBER('Chemical Data'!Q580),'Chemical Data'!Q580,"")</f>
        <v>0</v>
      </c>
      <c r="R68" s="4">
        <f>IF(ISNUMBER('Chemical Data'!R580),'Chemical Data'!R580,"")</f>
        <v>0</v>
      </c>
      <c r="S68" s="4">
        <f>IF(ISNUMBER('Chemical Data'!S580),'Chemical Data'!S580,"")</f>
        <v>368.6</v>
      </c>
      <c r="T68" s="4">
        <f>IF(ISNUMBER('Chemical Data'!T580),'Chemical Data'!T580,"")</f>
        <v>301.89457168136363</v>
      </c>
      <c r="U68" s="2" t="str">
        <f>IF(ISNUMBER('Chemical Data'!U580),'Chemical Data'!U580,"")</f>
        <v/>
      </c>
      <c r="V68" s="2" t="str">
        <f>IF(ISNUMBER('Chemical Data'!V580),'Chemical Data'!V580,"")</f>
        <v/>
      </c>
      <c r="W68" s="3">
        <f>IF(ISNUMBER('Chemical Data'!W580),'Chemical Data'!W580,"")</f>
        <v>8.0069999999999997</v>
      </c>
      <c r="X68" s="3">
        <f>IF(ISNUMBER('Chemical Data'!X580),'Chemical Data'!X580,"")</f>
        <v>0.48699999999999999</v>
      </c>
      <c r="Z68" s="3">
        <f>IF(ISNUMBER('Chemical Data'!Z580),'Chemical Data'!Z580,"")</f>
        <v>45.152000000000001</v>
      </c>
      <c r="AA68" s="3">
        <f>IF(ISNUMBER('Chemical Data'!AA580),'Chemical Data'!AA580,"")</f>
        <v>2.6179999999999999</v>
      </c>
      <c r="AB68" s="4">
        <f>IF(ISNUMBER('Chemical Data'!AB580),'Chemical Data'!AB580,"")</f>
        <v>788.8</v>
      </c>
      <c r="AC68" s="4" t="str">
        <f>IF(ISNUMBER('Chemical Data'!AC580),'Chemical Data'!AC580,"")</f>
        <v/>
      </c>
      <c r="AD68" s="4" t="str">
        <f>IF(ISNUMBER('Chemical Data'!AD580),'Chemical Data'!AD580,"")</f>
        <v/>
      </c>
      <c r="AE68" s="4" t="str">
        <f>IF(ISNUMBER('Chemical Data'!AE580),'Chemical Data'!AE580,"")</f>
        <v/>
      </c>
      <c r="AF68" s="4" t="str">
        <f>IF(ISNUMBER('Chemical Data'!AF580),'Chemical Data'!AF580,"")</f>
        <v/>
      </c>
      <c r="AG68" s="4" t="str">
        <f>IF(ISNUMBER('Chemical Data'!AG580),'Chemical Data'!AG580,"")</f>
        <v/>
      </c>
      <c r="AH68" s="4" t="str">
        <f>IF(ISNUMBER('Chemical Data'!AH580),'Chemical Data'!AH580,"")</f>
        <v/>
      </c>
      <c r="AI68" s="4" t="str">
        <f>IF(ISNUMBER('Chemical Data'!AI580),'Chemical Data'!AI580,"")</f>
        <v/>
      </c>
      <c r="AJ68" s="4" t="str">
        <f>IF(ISNUMBER('Chemical Data'!AJ580),'Chemical Data'!AJ580,"")</f>
        <v/>
      </c>
      <c r="AK68" s="4" t="str">
        <f>IF(ISNUMBER('Chemical Data'!AK580),'Chemical Data'!AK580,"")</f>
        <v/>
      </c>
      <c r="AL68" s="4">
        <f>IF(ISNUMBER('Chemical Data'!AL580),'Chemical Data'!AL580,"")</f>
        <v>1138</v>
      </c>
      <c r="AM68" s="4" t="str">
        <f>IF(ISNUMBER('Chemical Data'!AM580),'Chemical Data'!AM580,"")</f>
        <v/>
      </c>
      <c r="AN68" s="4">
        <f>IF(ISNUMBER('Chemical Data'!AN580),'Chemical Data'!AN580,"")</f>
        <v>101.73360000000001</v>
      </c>
      <c r="AO68" s="4">
        <f>IF(ISNUMBER('Chemical Data'!AO580),'Chemical Data'!AO580,"")</f>
        <v>2.2099320000000002</v>
      </c>
      <c r="AP68" s="4">
        <f>IF(ISNUMBER('Chemical Data'!AP580),'Chemical Data'!AP580,"")</f>
        <v>12.461952000000002</v>
      </c>
      <c r="AQ68" s="4">
        <f>IF(ISNUMBER('Chemical Data'!AQ580),'Chemical Data'!AQ580,"")</f>
        <v>0.72256799999999999</v>
      </c>
      <c r="AR68" s="4">
        <f>IF(ISNUMBER('Chemical Data'!AR580),'Chemical Data'!AR580,"")</f>
        <v>217.70879999999997</v>
      </c>
      <c r="AS68" s="4">
        <f>IF(ISNUMBER('Chemical Data'!AS580),'Chemical Data'!AS580,"")</f>
        <v>0</v>
      </c>
    </row>
    <row r="69" spans="1:45" x14ac:dyDescent="0.3">
      <c r="A69" s="5">
        <v>45547</v>
      </c>
      <c r="C69" s="5" t="str">
        <f>'Chemical Data'!C581</f>
        <v>DixonAMD1</v>
      </c>
      <c r="D69" s="5"/>
      <c r="E69" s="5" t="str">
        <f>'Chemical Data'!E581</f>
        <v xml:space="preserve">Harris St Discharge in Dixon Run report </v>
      </c>
      <c r="F69" s="5"/>
      <c r="G69" s="5"/>
      <c r="H69" s="5" t="str">
        <f>'Chemical Data'!H581</f>
        <v>Hedin/ICCD</v>
      </c>
      <c r="I69" s="4"/>
      <c r="J69" s="4">
        <f>IF(ISNUMBER('Chemical Data'!J581),'Chemical Data'!J581,"")</f>
        <v>17.82</v>
      </c>
      <c r="K69" s="4" t="s">
        <v>96</v>
      </c>
      <c r="L69" s="2">
        <f>IF(ISNUMBER('Chemical Data'!L581),'Chemical Data'!L581,"")</f>
        <v>2.99</v>
      </c>
      <c r="M69" s="2">
        <f>IF(ISNUMBER('Chemical Data'!M581),'Chemical Data'!M581,"")</f>
        <v>3</v>
      </c>
      <c r="N69" s="4">
        <f>IF(ISNUMBER('Chemical Data'!N581),'Chemical Data'!N581,"")</f>
        <v>1657</v>
      </c>
      <c r="O69" s="4" t="str">
        <f>IF(ISNUMBER('Chemical Data'!O581),'Chemical Data'!O581,"")</f>
        <v/>
      </c>
      <c r="P69" s="4">
        <f>IF(ISNUMBER('Chemical Data'!P581),'Chemical Data'!P581,"")</f>
        <v>11.6</v>
      </c>
      <c r="Q69" s="4">
        <f>IF(ISNUMBER('Chemical Data'!Q581),'Chemical Data'!Q581,"")</f>
        <v>0</v>
      </c>
      <c r="R69" s="4">
        <f>IF(ISNUMBER('Chemical Data'!R581),'Chemical Data'!R581,"")</f>
        <v>0</v>
      </c>
      <c r="S69" s="4">
        <f>IF(ISNUMBER('Chemical Data'!S581),'Chemical Data'!S581,"")</f>
        <v>418.4</v>
      </c>
      <c r="T69" s="4">
        <f>IF(ISNUMBER('Chemical Data'!T581),'Chemical Data'!T581,"")</f>
        <v>353.24321961403768</v>
      </c>
      <c r="U69" s="4" t="str">
        <f>IF(ISNUMBER('Chemical Data'!U581),'Chemical Data'!U581,"")</f>
        <v/>
      </c>
      <c r="V69" s="4" t="str">
        <f>IF(ISNUMBER('Chemical Data'!V581),'Chemical Data'!V581,"")</f>
        <v/>
      </c>
      <c r="W69" s="3">
        <f>IF(ISNUMBER('Chemical Data'!W581),'Chemical Data'!W581,"")</f>
        <v>9.8040000000000003</v>
      </c>
      <c r="X69" s="3">
        <f>IF(ISNUMBER('Chemical Data'!X581),'Chemical Data'!X581,"")</f>
        <v>0.34899999999999998</v>
      </c>
      <c r="Z69" s="3">
        <f>IF(ISNUMBER('Chemical Data'!Z581),'Chemical Data'!Z581,"")</f>
        <v>48.744</v>
      </c>
      <c r="AA69" s="3">
        <f>IF(ISNUMBER('Chemical Data'!AA581),'Chemical Data'!AA581,"")</f>
        <v>2.8010000000000002</v>
      </c>
      <c r="AB69" s="4">
        <f>IF(ISNUMBER('Chemical Data'!AB581),'Chemical Data'!AB581,"")</f>
        <v>805.2</v>
      </c>
      <c r="AC69" s="4" t="str">
        <f>IF(ISNUMBER('Chemical Data'!AC581),'Chemical Data'!AC581,"")</f>
        <v/>
      </c>
      <c r="AD69" s="4" t="str">
        <f>IF(ISNUMBER('Chemical Data'!AD581),'Chemical Data'!AD581,"")</f>
        <v/>
      </c>
      <c r="AE69" s="4" t="str">
        <f>IF(ISNUMBER('Chemical Data'!AE581),'Chemical Data'!AE581,"")</f>
        <v/>
      </c>
      <c r="AF69" s="4" t="str">
        <f>IF(ISNUMBER('Chemical Data'!AF581),'Chemical Data'!AF581,"")</f>
        <v/>
      </c>
      <c r="AG69" s="4" t="str">
        <f>IF(ISNUMBER('Chemical Data'!AG581),'Chemical Data'!AG581,"")</f>
        <v/>
      </c>
      <c r="AH69" s="4" t="str">
        <f>IF(ISNUMBER('Chemical Data'!AH581),'Chemical Data'!AH581,"")</f>
        <v/>
      </c>
      <c r="AI69" s="4" t="str">
        <f>IF(ISNUMBER('Chemical Data'!AI581),'Chemical Data'!AI581,"")</f>
        <v/>
      </c>
      <c r="AJ69" s="4" t="str">
        <f>IF(ISNUMBER('Chemical Data'!AJ581),'Chemical Data'!AJ581,"")</f>
        <v/>
      </c>
      <c r="AK69" s="4" t="str">
        <f>IF(ISNUMBER('Chemical Data'!AK581),'Chemical Data'!AK581,"")</f>
        <v/>
      </c>
      <c r="AL69" s="4">
        <f>IF(ISNUMBER('Chemical Data'!AL581),'Chemical Data'!AL581,"")</f>
        <v>1302</v>
      </c>
      <c r="AM69" s="4" t="str">
        <f>IF(ISNUMBER('Chemical Data'!AM581),'Chemical Data'!AM581,"")</f>
        <v/>
      </c>
      <c r="AN69" s="4">
        <f>IF(ISNUMBER('Chemical Data'!AN581),'Chemical Data'!AN581,"")</f>
        <v>89.470656000000005</v>
      </c>
      <c r="AO69" s="4">
        <f>IF(ISNUMBER('Chemical Data'!AO581),'Chemical Data'!AO581,"")</f>
        <v>2.0964873599999998</v>
      </c>
      <c r="AP69" s="4">
        <f>IF(ISNUMBER('Chemical Data'!AP581),'Chemical Data'!AP581,"")</f>
        <v>10.423416959999999</v>
      </c>
      <c r="AQ69" s="4">
        <f>IF(ISNUMBER('Chemical Data'!AQ581),'Chemical Data'!AQ581,"")</f>
        <v>0.59896583999999997</v>
      </c>
      <c r="AR69" s="4">
        <f>IF(ISNUMBER('Chemical Data'!AR581),'Chemical Data'!AR581,"")</f>
        <v>172.18396800000002</v>
      </c>
      <c r="AS69" s="4">
        <f>IF(ISNUMBER('Chemical Data'!AS581),'Chemical Data'!AS581,"")</f>
        <v>0</v>
      </c>
    </row>
    <row r="70" spans="1:45" x14ac:dyDescent="0.3">
      <c r="A70" s="5">
        <v>45595</v>
      </c>
      <c r="C70" s="5" t="str">
        <f>'Chemical Data'!C582</f>
        <v>DixonAMD1</v>
      </c>
      <c r="D70" s="5"/>
      <c r="E70" s="5" t="str">
        <f>'Chemical Data'!E582</f>
        <v xml:space="preserve">Harris St Discharge in Dixon Run report </v>
      </c>
      <c r="F70" s="5"/>
      <c r="G70" s="5"/>
      <c r="H70" s="5" t="str">
        <f>'Chemical Data'!H582</f>
        <v>Hedin/ICCD</v>
      </c>
      <c r="I70" s="4"/>
      <c r="J70" s="4">
        <f>IF(ISNUMBER('Chemical Data'!J582),'Chemical Data'!J582,"")</f>
        <v>12.99</v>
      </c>
      <c r="K70" s="4" t="s">
        <v>96</v>
      </c>
      <c r="L70" s="2">
        <f>IF(ISNUMBER('Chemical Data'!L582),'Chemical Data'!L582,"")</f>
        <v>2.69</v>
      </c>
      <c r="M70" s="2">
        <f>IF(ISNUMBER('Chemical Data'!M582),'Chemical Data'!M582,"")</f>
        <v>3</v>
      </c>
      <c r="N70" s="4">
        <f>IF(ISNUMBER('Chemical Data'!N582),'Chemical Data'!N582,"")</f>
        <v>1711</v>
      </c>
      <c r="O70" s="4" t="str">
        <f>IF(ISNUMBER('Chemical Data'!O582),'Chemical Data'!O582,"")</f>
        <v/>
      </c>
      <c r="P70" s="4">
        <f>IF(ISNUMBER('Chemical Data'!P582),'Chemical Data'!P582,"")</f>
        <v>11.9</v>
      </c>
      <c r="Q70" s="4">
        <f>IF(ISNUMBER('Chemical Data'!Q582),'Chemical Data'!Q582,"")</f>
        <v>0</v>
      </c>
      <c r="R70" s="4">
        <f>IF(ISNUMBER('Chemical Data'!R582),'Chemical Data'!R582,"")</f>
        <v>0</v>
      </c>
      <c r="S70" s="4">
        <f>IF(ISNUMBER('Chemical Data'!S582),'Chemical Data'!S582,"")</f>
        <v>485.2</v>
      </c>
      <c r="T70" s="4">
        <f>IF(ISNUMBER('Chemical Data'!T582),'Chemical Data'!T582,"")</f>
        <v>439.11933723347647</v>
      </c>
      <c r="U70" s="4" t="str">
        <f>IF(ISNUMBER('Chemical Data'!U582),'Chemical Data'!U582,"")</f>
        <v/>
      </c>
      <c r="V70" s="4" t="str">
        <f>IF(ISNUMBER('Chemical Data'!V582),'Chemical Data'!V582,"")</f>
        <v/>
      </c>
      <c r="W70" s="3">
        <f>IF(ISNUMBER('Chemical Data'!W582),'Chemical Data'!W582,"")</f>
        <v>10.422000000000001</v>
      </c>
      <c r="X70" s="3">
        <f>IF(ISNUMBER('Chemical Data'!X582),'Chemical Data'!X582,"")</f>
        <v>0.41799999999999998</v>
      </c>
      <c r="Z70" s="3">
        <f>IF(ISNUMBER('Chemical Data'!Z582),'Chemical Data'!Z582,"")</f>
        <v>54.698</v>
      </c>
      <c r="AA70" s="3">
        <f>IF(ISNUMBER('Chemical Data'!AA582),'Chemical Data'!AA582,"")</f>
        <v>2.9409999999999998</v>
      </c>
      <c r="AB70" s="4">
        <f>IF(ISNUMBER('Chemical Data'!AB582),'Chemical Data'!AB582,"")</f>
        <v>1009.2</v>
      </c>
      <c r="AC70" s="4" t="str">
        <f>IF(ISNUMBER('Chemical Data'!AC582),'Chemical Data'!AC582,"")</f>
        <v/>
      </c>
      <c r="AD70" s="4" t="str">
        <f>IF(ISNUMBER('Chemical Data'!AD582),'Chemical Data'!AD582,"")</f>
        <v/>
      </c>
      <c r="AE70" s="4" t="str">
        <f>IF(ISNUMBER('Chemical Data'!AE582),'Chemical Data'!AE582,"")</f>
        <v/>
      </c>
      <c r="AF70" s="4" t="str">
        <f>IF(ISNUMBER('Chemical Data'!AF582),'Chemical Data'!AF582,"")</f>
        <v/>
      </c>
      <c r="AG70" s="4" t="str">
        <f>IF(ISNUMBER('Chemical Data'!AG582),'Chemical Data'!AG582,"")</f>
        <v/>
      </c>
      <c r="AH70" s="4" t="str">
        <f>IF(ISNUMBER('Chemical Data'!AH582),'Chemical Data'!AH582,"")</f>
        <v/>
      </c>
      <c r="AI70" s="4" t="str">
        <f>IF(ISNUMBER('Chemical Data'!AI582),'Chemical Data'!AI582,"")</f>
        <v/>
      </c>
      <c r="AJ70" s="4" t="str">
        <f>IF(ISNUMBER('Chemical Data'!AJ582),'Chemical Data'!AJ582,"")</f>
        <v/>
      </c>
      <c r="AK70" s="4" t="str">
        <f>IF(ISNUMBER('Chemical Data'!AK582),'Chemical Data'!AK582,"")</f>
        <v/>
      </c>
      <c r="AL70" s="4">
        <f>IF(ISNUMBER('Chemical Data'!AL582),'Chemical Data'!AL582,"")</f>
        <v>1420</v>
      </c>
      <c r="AM70" s="4" t="str">
        <f>IF(ISNUMBER('Chemical Data'!AM582),'Chemical Data'!AM582,"")</f>
        <v/>
      </c>
      <c r="AN70" s="4">
        <f>IF(ISNUMBER('Chemical Data'!AN582),'Chemical Data'!AN582,"")</f>
        <v>75.632975999999999</v>
      </c>
      <c r="AO70" s="4">
        <f>IF(ISNUMBER('Chemical Data'!AO582),'Chemical Data'!AO582,"")</f>
        <v>1.6245813600000003</v>
      </c>
      <c r="AP70" s="4">
        <f>IF(ISNUMBER('Chemical Data'!AP582),'Chemical Data'!AP582,"")</f>
        <v>8.5263242399999992</v>
      </c>
      <c r="AQ70" s="4">
        <f>IF(ISNUMBER('Chemical Data'!AQ582),'Chemical Data'!AQ582,"")</f>
        <v>0.45844308</v>
      </c>
      <c r="AR70" s="4">
        <f>IF(ISNUMBER('Chemical Data'!AR582),'Chemical Data'!AR582,"")</f>
        <v>157.31409600000003</v>
      </c>
      <c r="AS70" s="4">
        <f>IF(ISNUMBER('Chemical Data'!AS582),'Chemical Data'!AS582,"")</f>
        <v>0</v>
      </c>
    </row>
    <row r="71" spans="1:45" x14ac:dyDescent="0.3">
      <c r="A71" s="5">
        <v>45617</v>
      </c>
      <c r="C71" s="5" t="str">
        <f>'Chemical Data'!C583</f>
        <v>DixonAMD1</v>
      </c>
      <c r="D71" s="5"/>
      <c r="E71" s="5" t="str">
        <f>'Chemical Data'!E583</f>
        <v xml:space="preserve">Harris St Discharge in Dixon Run report </v>
      </c>
      <c r="F71" s="5"/>
      <c r="G71" s="5"/>
      <c r="H71" s="5" t="str">
        <f>'Chemical Data'!H583</f>
        <v>Hedin/ICCD</v>
      </c>
      <c r="I71" s="4"/>
      <c r="J71" s="4">
        <f>IF(ISNUMBER('Chemical Data'!J583),'Chemical Data'!J583,"")</f>
        <v>14.62</v>
      </c>
      <c r="K71" s="4" t="s">
        <v>96</v>
      </c>
      <c r="L71" s="2">
        <f>IF(ISNUMBER('Chemical Data'!L583),'Chemical Data'!L583,"")</f>
        <v>2.8</v>
      </c>
      <c r="M71" s="2">
        <f>IF(ISNUMBER('Chemical Data'!M583),'Chemical Data'!M583,"")</f>
        <v>3.1</v>
      </c>
      <c r="N71" s="4">
        <f>IF(ISNUMBER('Chemical Data'!N583),'Chemical Data'!N583,"")</f>
        <v>1511</v>
      </c>
      <c r="O71" s="4" t="str">
        <f>IF(ISNUMBER('Chemical Data'!O583),'Chemical Data'!O583,"")</f>
        <v/>
      </c>
      <c r="P71" s="4">
        <f>IF(ISNUMBER('Chemical Data'!P583),'Chemical Data'!P583,"")</f>
        <v>7.8</v>
      </c>
      <c r="Q71" s="4">
        <f>IF(ISNUMBER('Chemical Data'!Q583),'Chemical Data'!Q583,"")</f>
        <v>0</v>
      </c>
      <c r="R71" s="4">
        <f>IF(ISNUMBER('Chemical Data'!R583),'Chemical Data'!R583,"")</f>
        <v>0</v>
      </c>
      <c r="S71" s="4">
        <f>IF(ISNUMBER('Chemical Data'!S583),'Chemical Data'!S583,"")</f>
        <v>427.6</v>
      </c>
      <c r="T71" s="4">
        <f>IF(ISNUMBER('Chemical Data'!T583),'Chemical Data'!T583,"")</f>
        <v>414.03611962305564</v>
      </c>
      <c r="U71" s="4" t="str">
        <f>IF(ISNUMBER('Chemical Data'!U583),'Chemical Data'!U583,"")</f>
        <v/>
      </c>
      <c r="V71" s="4" t="str">
        <f>IF(ISNUMBER('Chemical Data'!V583),'Chemical Data'!V583,"")</f>
        <v/>
      </c>
      <c r="W71" s="3">
        <f>IF(ISNUMBER('Chemical Data'!W583),'Chemical Data'!W583,"")</f>
        <v>10.135999999999999</v>
      </c>
      <c r="X71" s="3">
        <f>IF(ISNUMBER('Chemical Data'!X583),'Chemical Data'!X583,"")</f>
        <v>0.47599999999999998</v>
      </c>
      <c r="Z71" s="3">
        <f>IF(ISNUMBER('Chemical Data'!Z583),'Chemical Data'!Z583,"")</f>
        <v>54.465000000000003</v>
      </c>
      <c r="AA71" s="3">
        <f>IF(ISNUMBER('Chemical Data'!AA583),'Chemical Data'!AA583,"")</f>
        <v>2.871</v>
      </c>
      <c r="AB71" s="4">
        <f>IF(ISNUMBER('Chemical Data'!AB583),'Chemical Data'!AB583,"")</f>
        <v>993.1</v>
      </c>
      <c r="AC71" s="4" t="str">
        <f>IF(ISNUMBER('Chemical Data'!AC583),'Chemical Data'!AC583,"")</f>
        <v/>
      </c>
      <c r="AD71" s="4" t="str">
        <f>IF(ISNUMBER('Chemical Data'!AD583),'Chemical Data'!AD583,"")</f>
        <v/>
      </c>
      <c r="AE71" s="4" t="str">
        <f>IF(ISNUMBER('Chemical Data'!AE583),'Chemical Data'!AE583,"")</f>
        <v/>
      </c>
      <c r="AF71" s="4" t="str">
        <f>IF(ISNUMBER('Chemical Data'!AF583),'Chemical Data'!AF583,"")</f>
        <v/>
      </c>
      <c r="AG71" s="4" t="str">
        <f>IF(ISNUMBER('Chemical Data'!AG583),'Chemical Data'!AG583,"")</f>
        <v/>
      </c>
      <c r="AH71" s="4" t="str">
        <f>IF(ISNUMBER('Chemical Data'!AH583),'Chemical Data'!AH583,"")</f>
        <v/>
      </c>
      <c r="AI71" s="4" t="str">
        <f>IF(ISNUMBER('Chemical Data'!AI583),'Chemical Data'!AI583,"")</f>
        <v/>
      </c>
      <c r="AJ71" s="4" t="str">
        <f>IF(ISNUMBER('Chemical Data'!AJ583),'Chemical Data'!AJ583,"")</f>
        <v/>
      </c>
      <c r="AK71" s="4" t="str">
        <f>IF(ISNUMBER('Chemical Data'!AK583),'Chemical Data'!AK583,"")</f>
        <v/>
      </c>
      <c r="AL71" s="4">
        <f>IF(ISNUMBER('Chemical Data'!AL583),'Chemical Data'!AL583,"")</f>
        <v>1266</v>
      </c>
      <c r="AM71" s="4" t="str">
        <f>IF(ISNUMBER('Chemical Data'!AM583),'Chemical Data'!AM583,"")</f>
        <v/>
      </c>
      <c r="AN71" s="4">
        <f>IF(ISNUMBER('Chemical Data'!AN583),'Chemical Data'!AN583,"")</f>
        <v>75.018143999999992</v>
      </c>
      <c r="AO71" s="4">
        <f>IF(ISNUMBER('Chemical Data'!AO583),'Chemical Data'!AO583,"")</f>
        <v>1.7782598399999998</v>
      </c>
      <c r="AP71" s="4">
        <f>IF(ISNUMBER('Chemical Data'!AP583),'Chemical Data'!AP583,"")</f>
        <v>9.5553396000000017</v>
      </c>
      <c r="AQ71" s="4">
        <f>IF(ISNUMBER('Chemical Data'!AQ583),'Chemical Data'!AQ583,"")</f>
        <v>0.50368824000000001</v>
      </c>
      <c r="AR71" s="4">
        <f>IF(ISNUMBER('Chemical Data'!AR583),'Chemical Data'!AR583,"")</f>
        <v>174.22946400000001</v>
      </c>
      <c r="AS71" s="4">
        <f>IF(ISNUMBER('Chemical Data'!AS583),'Chemical Data'!AS583,"")</f>
        <v>0</v>
      </c>
    </row>
    <row r="72" spans="1:45" x14ac:dyDescent="0.3">
      <c r="A72" s="5">
        <v>45644</v>
      </c>
      <c r="C72" s="5" t="str">
        <f>'Chemical Data'!C584</f>
        <v>DixonAMD1</v>
      </c>
      <c r="D72" s="5"/>
      <c r="E72" s="5" t="str">
        <f>'Chemical Data'!E584</f>
        <v xml:space="preserve">Harris St Discharge in Dixon Run report </v>
      </c>
      <c r="F72" s="5"/>
      <c r="G72" s="5"/>
      <c r="H72" s="5" t="str">
        <f>'Chemical Data'!H584</f>
        <v>Hedin</v>
      </c>
      <c r="I72" s="4"/>
      <c r="J72" s="4">
        <f>IF(ISNUMBER('Chemical Data'!J584),'Chemical Data'!J584,"")</f>
        <v>34.200000000000003</v>
      </c>
      <c r="K72" s="4" t="s">
        <v>96</v>
      </c>
      <c r="L72" s="2">
        <f>IF(ISNUMBER('Chemical Data'!L584),'Chemical Data'!L584,"")</f>
        <v>3.15</v>
      </c>
      <c r="M72" s="2">
        <f>IF(ISNUMBER('Chemical Data'!M584),'Chemical Data'!M584,"")</f>
        <v>3.3</v>
      </c>
      <c r="N72" s="4">
        <f>IF(ISNUMBER('Chemical Data'!N584),'Chemical Data'!N584,"")</f>
        <v>1052</v>
      </c>
      <c r="O72" s="4" t="str">
        <f>IF(ISNUMBER('Chemical Data'!O584),'Chemical Data'!O584,"")</f>
        <v/>
      </c>
      <c r="P72" s="4">
        <f>IF(ISNUMBER('Chemical Data'!P584),'Chemical Data'!P584,"")</f>
        <v>9.9</v>
      </c>
      <c r="Q72" s="4">
        <f>IF(ISNUMBER('Chemical Data'!Q584),'Chemical Data'!Q584,"")</f>
        <v>0</v>
      </c>
      <c r="R72" s="4">
        <f>IF(ISNUMBER('Chemical Data'!R584),'Chemical Data'!R584,"")</f>
        <v>0</v>
      </c>
      <c r="S72" s="4">
        <f>IF(ISNUMBER('Chemical Data'!S584),'Chemical Data'!S584,"")</f>
        <v>237.6</v>
      </c>
      <c r="T72" s="4">
        <f>IF(ISNUMBER('Chemical Data'!T584),'Chemical Data'!T584,"")</f>
        <v>213.59007921920687</v>
      </c>
      <c r="U72" s="4" t="str">
        <f>IF(ISNUMBER('Chemical Data'!U584),'Chemical Data'!U584,"")</f>
        <v/>
      </c>
      <c r="V72" s="4" t="str">
        <f>IF(ISNUMBER('Chemical Data'!V584),'Chemical Data'!V584,"")</f>
        <v/>
      </c>
      <c r="W72" s="3">
        <f>IF(ISNUMBER('Chemical Data'!W584),'Chemical Data'!W584,"")</f>
        <v>5.508</v>
      </c>
      <c r="X72" s="3">
        <f>IF(ISNUMBER('Chemical Data'!X584),'Chemical Data'!X584,"")</f>
        <v>0.32900000000000001</v>
      </c>
      <c r="Z72" s="3">
        <f>IF(ISNUMBER('Chemical Data'!Z584),'Chemical Data'!Z584,"")</f>
        <v>28.943999999999999</v>
      </c>
      <c r="AA72" s="3">
        <f>IF(ISNUMBER('Chemical Data'!AA584),'Chemical Data'!AA584,"")</f>
        <v>1.536</v>
      </c>
      <c r="AB72" s="4">
        <f>IF(ISNUMBER('Chemical Data'!AB584),'Chemical Data'!AB584,"")</f>
        <v>521.70000000000005</v>
      </c>
      <c r="AC72" s="4" t="str">
        <f>IF(ISNUMBER('Chemical Data'!AC584),'Chemical Data'!AC584,"")</f>
        <v/>
      </c>
      <c r="AD72" s="4" t="str">
        <f>IF(ISNUMBER('Chemical Data'!AD584),'Chemical Data'!AD584,"")</f>
        <v/>
      </c>
      <c r="AE72" s="4" t="str">
        <f>IF(ISNUMBER('Chemical Data'!AE584),'Chemical Data'!AE584,"")</f>
        <v/>
      </c>
      <c r="AF72" s="4" t="str">
        <f>IF(ISNUMBER('Chemical Data'!AF584),'Chemical Data'!AF584,"")</f>
        <v/>
      </c>
      <c r="AG72" s="4" t="str">
        <f>IF(ISNUMBER('Chemical Data'!AG584),'Chemical Data'!AG584,"")</f>
        <v/>
      </c>
      <c r="AH72" s="4" t="str">
        <f>IF(ISNUMBER('Chemical Data'!AH584),'Chemical Data'!AH584,"")</f>
        <v/>
      </c>
      <c r="AI72" s="4" t="str">
        <f>IF(ISNUMBER('Chemical Data'!AI584),'Chemical Data'!AI584,"")</f>
        <v/>
      </c>
      <c r="AJ72" s="4" t="str">
        <f>IF(ISNUMBER('Chemical Data'!AJ584),'Chemical Data'!AJ584,"")</f>
        <v/>
      </c>
      <c r="AK72" s="4" t="str">
        <f>IF(ISNUMBER('Chemical Data'!AK584),'Chemical Data'!AK584,"")</f>
        <v/>
      </c>
      <c r="AL72" s="4">
        <f>IF(ISNUMBER('Chemical Data'!AL584),'Chemical Data'!AL584,"")</f>
        <v>774</v>
      </c>
      <c r="AM72" s="4" t="str">
        <f>IF(ISNUMBER('Chemical Data'!AM584),'Chemical Data'!AM584,"")</f>
        <v/>
      </c>
      <c r="AN72" s="4">
        <f>IF(ISNUMBER('Chemical Data'!AN584),'Chemical Data'!AN584,"")</f>
        <v>97.511040000000008</v>
      </c>
      <c r="AO72" s="4">
        <f>IF(ISNUMBER('Chemical Data'!AO584),'Chemical Data'!AO584,"")</f>
        <v>2.2604832000000004</v>
      </c>
      <c r="AP72" s="4">
        <f>IF(ISNUMBER('Chemical Data'!AP584),'Chemical Data'!AP584,"")</f>
        <v>11.8786176</v>
      </c>
      <c r="AQ72" s="4">
        <f>IF(ISNUMBER('Chemical Data'!AQ584),'Chemical Data'!AQ584,"")</f>
        <v>0.63037440000000011</v>
      </c>
      <c r="AR72" s="4">
        <f>IF(ISNUMBER('Chemical Data'!AR584),'Chemical Data'!AR584,"")</f>
        <v>214.10568000000004</v>
      </c>
      <c r="AS72" s="4">
        <f>IF(ISNUMBER('Chemical Data'!AS584),'Chemical Data'!AS584,"")</f>
        <v>0</v>
      </c>
    </row>
    <row r="73" spans="1:45" x14ac:dyDescent="0.3">
      <c r="A73" s="5">
        <v>45687</v>
      </c>
      <c r="C73" s="5" t="str">
        <f>'Chemical Data'!C585</f>
        <v>DixonAMD1</v>
      </c>
      <c r="D73" s="5"/>
      <c r="E73" s="5" t="str">
        <f>'Chemical Data'!E585</f>
        <v xml:space="preserve">Harris St Discharge in Dixon Run report </v>
      </c>
      <c r="F73" s="5"/>
      <c r="G73" s="5"/>
      <c r="H73" s="5" t="str">
        <f>'Chemical Data'!H585</f>
        <v>Hedin/ICCD</v>
      </c>
      <c r="I73" s="4"/>
      <c r="J73" s="4">
        <f>IF(ISNUMBER('Chemical Data'!J585),'Chemical Data'!J585,"")</f>
        <v>21.2</v>
      </c>
      <c r="K73" s="4" t="s">
        <v>96</v>
      </c>
      <c r="L73" s="2">
        <f>IF(ISNUMBER('Chemical Data'!L585),'Chemical Data'!L585,"")</f>
        <v>3.04</v>
      </c>
      <c r="M73" s="2">
        <f>IF(ISNUMBER('Chemical Data'!M585),'Chemical Data'!M585,"")</f>
        <v>3.2</v>
      </c>
      <c r="N73" s="4">
        <f>IF(ISNUMBER('Chemical Data'!N585),'Chemical Data'!N585,"")</f>
        <v>1197</v>
      </c>
      <c r="O73" s="4" t="str">
        <f>IF(ISNUMBER('Chemical Data'!O585),'Chemical Data'!O585,"")</f>
        <v/>
      </c>
      <c r="P73" s="4">
        <f>IF(ISNUMBER('Chemical Data'!P585),'Chemical Data'!P585,"")</f>
        <v>8.4</v>
      </c>
      <c r="Q73" s="4">
        <f>IF(ISNUMBER('Chemical Data'!Q585),'Chemical Data'!Q585,"")</f>
        <v>0</v>
      </c>
      <c r="R73" s="4">
        <f>IF(ISNUMBER('Chemical Data'!R585),'Chemical Data'!R585,"")</f>
        <v>0</v>
      </c>
      <c r="S73" s="4">
        <f>IF(ISNUMBER('Chemical Data'!S585),'Chemical Data'!S585,"")</f>
        <v>270.60000000000002</v>
      </c>
      <c r="T73" s="4">
        <f>IF(ISNUMBER('Chemical Data'!T585),'Chemical Data'!T585,"")</f>
        <v>234.29792196779542</v>
      </c>
      <c r="U73" s="4" t="str">
        <f>IF(ISNUMBER('Chemical Data'!U585),'Chemical Data'!U585,"")</f>
        <v/>
      </c>
      <c r="V73" s="4" t="str">
        <f>IF(ISNUMBER('Chemical Data'!V585),'Chemical Data'!V585,"")</f>
        <v/>
      </c>
      <c r="W73" s="3">
        <f>IF(ISNUMBER('Chemical Data'!W585),'Chemical Data'!W585,"")</f>
        <v>6.5060000000000002</v>
      </c>
      <c r="X73" s="3">
        <f>IF(ISNUMBER('Chemical Data'!X585),'Chemical Data'!X585,"")</f>
        <v>0.27600000000000002</v>
      </c>
      <c r="Z73" s="3">
        <f>IF(ISNUMBER('Chemical Data'!Z585),'Chemical Data'!Z585,"")</f>
        <v>30.259</v>
      </c>
      <c r="AA73" s="3">
        <f>IF(ISNUMBER('Chemical Data'!AA585),'Chemical Data'!AA585,"")</f>
        <v>1.7949999999999999</v>
      </c>
      <c r="AB73" s="4">
        <f>IF(ISNUMBER('Chemical Data'!AB585),'Chemical Data'!AB585,"")</f>
        <v>592.79999999999995</v>
      </c>
      <c r="AC73" s="4" t="str">
        <f>IF(ISNUMBER('Chemical Data'!AC585),'Chemical Data'!AC585,"")</f>
        <v/>
      </c>
      <c r="AD73" s="4" t="str">
        <f>IF(ISNUMBER('Chemical Data'!AD585),'Chemical Data'!AD585,"")</f>
        <v/>
      </c>
      <c r="AE73" s="4" t="str">
        <f>IF(ISNUMBER('Chemical Data'!AE585),'Chemical Data'!AE585,"")</f>
        <v/>
      </c>
      <c r="AF73" s="4" t="str">
        <f>IF(ISNUMBER('Chemical Data'!AF585),'Chemical Data'!AF585,"")</f>
        <v/>
      </c>
      <c r="AG73" s="4" t="str">
        <f>IF(ISNUMBER('Chemical Data'!AG585),'Chemical Data'!AG585,"")</f>
        <v/>
      </c>
      <c r="AH73" s="4" t="str">
        <f>IF(ISNUMBER('Chemical Data'!AH585),'Chemical Data'!AH585,"")</f>
        <v/>
      </c>
      <c r="AI73" s="4" t="str">
        <f>IF(ISNUMBER('Chemical Data'!AI585),'Chemical Data'!AI585,"")</f>
        <v/>
      </c>
      <c r="AJ73" s="4" t="str">
        <f>IF(ISNUMBER('Chemical Data'!AJ585),'Chemical Data'!AJ585,"")</f>
        <v/>
      </c>
      <c r="AK73" s="4" t="str">
        <f>IF(ISNUMBER('Chemical Data'!AK585),'Chemical Data'!AK585,"")</f>
        <v/>
      </c>
      <c r="AL73" s="4">
        <f>IF(ISNUMBER('Chemical Data'!AL585),'Chemical Data'!AL585,"")</f>
        <v>856</v>
      </c>
      <c r="AM73" s="4" t="str">
        <f>IF(ISNUMBER('Chemical Data'!AM585),'Chemical Data'!AM585,"")</f>
        <v/>
      </c>
      <c r="AN73" s="4">
        <f>IF(ISNUMBER('Chemical Data'!AN585),'Chemical Data'!AN585,"")</f>
        <v>68.840640000000008</v>
      </c>
      <c r="AO73" s="4">
        <f>IF(ISNUMBER('Chemical Data'!AO585),'Chemical Data'!AO585,"")</f>
        <v>1.6551264000000001</v>
      </c>
      <c r="AP73" s="4">
        <f>IF(ISNUMBER('Chemical Data'!AP585),'Chemical Data'!AP585,"")</f>
        <v>7.6978896000000008</v>
      </c>
      <c r="AQ73" s="4">
        <f>IF(ISNUMBER('Chemical Data'!AQ585),'Chemical Data'!AQ585,"")</f>
        <v>0.45664799999999994</v>
      </c>
      <c r="AR73" s="4">
        <f>IF(ISNUMBER('Chemical Data'!AR585),'Chemical Data'!AR585,"")</f>
        <v>150.80831999999998</v>
      </c>
      <c r="AS73" s="4">
        <f>IF(ISNUMBER('Chemical Data'!AS585),'Chemical Data'!AS585,"")</f>
        <v>0</v>
      </c>
    </row>
    <row r="74" spans="1:45" s="7" customFormat="1" x14ac:dyDescent="0.3">
      <c r="A74" s="45" t="s">
        <v>144</v>
      </c>
      <c r="J74" s="20">
        <f t="shared" ref="J74:T74" si="11">AVERAGE(J59:J73)</f>
        <v>43.327000000000005</v>
      </c>
      <c r="K74" s="20" t="e">
        <f t="shared" si="11"/>
        <v>#DIV/0!</v>
      </c>
      <c r="L74" s="116">
        <f t="shared" si="11"/>
        <v>2.8973333333333331</v>
      </c>
      <c r="M74" s="20">
        <f t="shared" si="11"/>
        <v>3.1066666666666669</v>
      </c>
      <c r="N74" s="20">
        <f t="shared" si="11"/>
        <v>1238.0666666666666</v>
      </c>
      <c r="O74" s="20">
        <f t="shared" si="11"/>
        <v>960.75</v>
      </c>
      <c r="P74" s="20">
        <f t="shared" si="11"/>
        <v>10.790909090909091</v>
      </c>
      <c r="Q74" s="20">
        <f t="shared" si="11"/>
        <v>0</v>
      </c>
      <c r="R74" s="20">
        <f t="shared" si="11"/>
        <v>0</v>
      </c>
      <c r="S74" s="20">
        <f t="shared" si="11"/>
        <v>292.90666666666669</v>
      </c>
      <c r="T74" s="20">
        <f t="shared" si="11"/>
        <v>286.17134094790021</v>
      </c>
      <c r="U74" s="20"/>
      <c r="V74" s="20"/>
      <c r="W74" s="20">
        <f>AVERAGE(W59:W73)</f>
        <v>10.200533333333334</v>
      </c>
      <c r="X74" s="20">
        <f>AVERAGE(X59:X73)</f>
        <v>0.46786666666666665</v>
      </c>
      <c r="Y74" s="20"/>
      <c r="Z74" s="20">
        <f t="shared" ref="Z74:AJ74" si="12">AVERAGE(Z59:Z73)</f>
        <v>32.383266666666671</v>
      </c>
      <c r="AA74" s="20">
        <f t="shared" si="12"/>
        <v>2.0369333333333333</v>
      </c>
      <c r="AB74" s="20">
        <f t="shared" si="12"/>
        <v>630.24933333333331</v>
      </c>
      <c r="AC74" s="20">
        <f t="shared" si="12"/>
        <v>68.62</v>
      </c>
      <c r="AD74" s="20">
        <f t="shared" si="12"/>
        <v>30.5975</v>
      </c>
      <c r="AE74" s="20">
        <f t="shared" si="12"/>
        <v>1.355</v>
      </c>
      <c r="AF74" s="20">
        <f t="shared" si="12"/>
        <v>1.2374999999999998</v>
      </c>
      <c r="AG74" s="20">
        <f t="shared" si="12"/>
        <v>4</v>
      </c>
      <c r="AH74" s="20">
        <f t="shared" si="12"/>
        <v>0.13275000000000001</v>
      </c>
      <c r="AI74" s="20">
        <f t="shared" si="12"/>
        <v>0.22800000000000001</v>
      </c>
      <c r="AJ74" s="20">
        <f t="shared" si="12"/>
        <v>0.2</v>
      </c>
      <c r="AK74" s="20"/>
      <c r="AL74" s="20">
        <f>AVERAGE(AL59:AL73)</f>
        <v>1022</v>
      </c>
      <c r="AM74" s="20"/>
      <c r="AN74" s="20">
        <f t="shared" ref="AN74:AS74" si="13">AVERAGE(AN59:AN73)</f>
        <v>140.25948720000002</v>
      </c>
      <c r="AO74" s="20">
        <f t="shared" si="13"/>
        <v>7.6889583839999993</v>
      </c>
      <c r="AP74" s="20">
        <f t="shared" si="13"/>
        <v>14.464726648000001</v>
      </c>
      <c r="AQ74" s="20">
        <f t="shared" si="13"/>
        <v>0.97698980800000024</v>
      </c>
      <c r="AR74" s="20">
        <f t="shared" si="13"/>
        <v>289.96955575999993</v>
      </c>
      <c r="AS74" s="20">
        <f t="shared" si="13"/>
        <v>0</v>
      </c>
    </row>
    <row r="76" spans="1:45" x14ac:dyDescent="0.3">
      <c r="A76" s="5">
        <f>'Chemical Data'!A308</f>
        <v>44845</v>
      </c>
      <c r="B76" t="str">
        <f>'Chemical Data'!B308</f>
        <v>005</v>
      </c>
      <c r="C76" t="str">
        <f>'Chemical Data'!C308</f>
        <v>KBLDIX</v>
      </c>
      <c r="E76" t="str">
        <f>'Chemical Data'!E308</f>
        <v>Mouth of Dixon Run</v>
      </c>
      <c r="F76">
        <f>'Chemical Data'!F308</f>
        <v>40.670039000000003</v>
      </c>
      <c r="G76">
        <f>'Chemical Data'!G308</f>
        <v>-79.015269000000004</v>
      </c>
      <c r="H76" t="str">
        <f>'Chemical Data'!H308</f>
        <v>Tasker</v>
      </c>
      <c r="J76" s="1">
        <f>'Chemical Data'!J308</f>
        <v>1590</v>
      </c>
      <c r="K76" t="str">
        <f>'Chemical Data'!K308</f>
        <v>M</v>
      </c>
      <c r="L76" s="2">
        <f>'Chemical Data'!L308</f>
        <v>6.61</v>
      </c>
      <c r="M76" s="2">
        <f>'Chemical Data'!M308</f>
        <v>6.6</v>
      </c>
      <c r="N76" s="1">
        <f>'Chemical Data'!N308</f>
        <v>712</v>
      </c>
      <c r="O76" s="1">
        <f>'Chemical Data'!O308</f>
        <v>728</v>
      </c>
      <c r="P76">
        <f>'Chemical Data'!P308</f>
        <v>9.6</v>
      </c>
      <c r="Q76" s="4">
        <f>'Chemical Data'!Q308</f>
        <v>28.5</v>
      </c>
      <c r="R76" s="4">
        <f>'Chemical Data'!R308</f>
        <v>20.8</v>
      </c>
      <c r="S76" s="4">
        <f>'Chemical Data'!S308</f>
        <v>2.2000000000000002</v>
      </c>
      <c r="T76" s="4">
        <f>'Chemical Data'!T308</f>
        <v>-22.328906455421574</v>
      </c>
      <c r="U76" s="3">
        <f>'Chemical Data'!U308</f>
        <v>9.36</v>
      </c>
      <c r="V76" s="3">
        <f>'Chemical Data'!V308</f>
        <v>82.5</v>
      </c>
      <c r="W76" s="3">
        <f>'Chemical Data'!W308</f>
        <v>6.7169999999999996</v>
      </c>
      <c r="X76" s="3">
        <f>'Chemical Data'!X308</f>
        <v>2.0579999999999998</v>
      </c>
      <c r="Z76" s="3">
        <f>'Chemical Data'!Z308</f>
        <v>4.6609999999999996</v>
      </c>
      <c r="AA76" s="3">
        <f>'Chemical Data'!AA308</f>
        <v>1.375</v>
      </c>
      <c r="AB76" s="3">
        <f>'Chemical Data'!AB308</f>
        <v>353.21</v>
      </c>
      <c r="AC76" s="3">
        <f>'Chemical Data'!AC308</f>
        <v>85.53</v>
      </c>
      <c r="AD76" s="3">
        <f>'Chemical Data'!AD308</f>
        <v>30.17</v>
      </c>
      <c r="AE76" s="3">
        <f>'Chemical Data'!AE308</f>
        <v>19.39</v>
      </c>
      <c r="AF76" s="3">
        <f>'Chemical Data'!AF308</f>
        <v>2.44</v>
      </c>
      <c r="AG76" s="3">
        <f>'Chemical Data'!AG308</f>
        <v>8.9</v>
      </c>
      <c r="AH76">
        <f>'Chemical Data'!AH308</f>
        <v>6.3E-2</v>
      </c>
      <c r="AI76">
        <f>'Chemical Data'!AI308</f>
        <v>0.122</v>
      </c>
      <c r="AJ76" t="str">
        <f>'Chemical Data'!AJ308</f>
        <v>&lt;0.2</v>
      </c>
      <c r="AN76" s="1">
        <f>'Chemical Data'!AN308</f>
        <v>41.976000000000006</v>
      </c>
      <c r="AO76" s="1">
        <f>'Chemical Data'!AO308</f>
        <v>128.16036</v>
      </c>
      <c r="AP76" s="1">
        <f>'Chemical Data'!AP308</f>
        <v>88.931879999999992</v>
      </c>
      <c r="AQ76" s="1">
        <f>'Chemical Data'!AQ308</f>
        <v>26.234999999999999</v>
      </c>
      <c r="AR76" s="1">
        <f>'Chemical Data'!AR308</f>
        <v>6739.2468000000008</v>
      </c>
      <c r="AS76" s="1">
        <f>'Chemical Data'!AS308</f>
        <v>396.86400000000003</v>
      </c>
    </row>
    <row r="77" spans="1:45" x14ac:dyDescent="0.3">
      <c r="A77" s="5">
        <f>'Chemical Data'!A309</f>
        <v>44903</v>
      </c>
      <c r="B77" t="str">
        <f>'Chemical Data'!B309</f>
        <v>005</v>
      </c>
      <c r="C77" t="str">
        <f>'Chemical Data'!C309</f>
        <v>KBLDIX</v>
      </c>
      <c r="E77" t="str">
        <f>'Chemical Data'!E309</f>
        <v>Mouth of Dixon Run</v>
      </c>
      <c r="F77">
        <f>'Chemical Data'!F309</f>
        <v>40.670039000000003</v>
      </c>
      <c r="G77">
        <f>'Chemical Data'!G309</f>
        <v>-79.015269000000004</v>
      </c>
      <c r="H77" t="str">
        <f>'Chemical Data'!H309</f>
        <v>Tasker</v>
      </c>
      <c r="J77" s="1">
        <f>'Chemical Data'!J309</f>
        <v>5499</v>
      </c>
      <c r="K77" t="str">
        <f>'Chemical Data'!K309</f>
        <v>M</v>
      </c>
      <c r="L77" s="2">
        <f>'Chemical Data'!L309</f>
        <v>7.21</v>
      </c>
      <c r="M77" s="2">
        <f>'Chemical Data'!M309</f>
        <v>7</v>
      </c>
      <c r="N77" s="1">
        <f>'Chemical Data'!N309</f>
        <v>397.6</v>
      </c>
      <c r="O77" s="1">
        <f>'Chemical Data'!O309</f>
        <v>404</v>
      </c>
      <c r="P77">
        <f>'Chemical Data'!P309</f>
        <v>8.3000000000000007</v>
      </c>
      <c r="Q77" s="4">
        <f>'Chemical Data'!Q309</f>
        <v>47</v>
      </c>
      <c r="R77" s="4">
        <f>'Chemical Data'!R309</f>
        <v>50</v>
      </c>
      <c r="S77" s="4">
        <f>'Chemical Data'!S309</f>
        <v>-33.4</v>
      </c>
      <c r="T77" s="4">
        <f>'Chemical Data'!T309</f>
        <v>-45.367057024990693</v>
      </c>
      <c r="U77" s="3">
        <f>'Chemical Data'!U309</f>
        <v>10.82</v>
      </c>
      <c r="V77" s="3">
        <f>'Chemical Data'!V309</f>
        <v>92.1</v>
      </c>
      <c r="W77" s="3">
        <f>'Chemical Data'!W309</f>
        <v>2.5920000000000001</v>
      </c>
      <c r="X77" s="3">
        <f>'Chemical Data'!X309</f>
        <v>0.45400000000000001</v>
      </c>
      <c r="Z77" s="3">
        <f>'Chemical Data'!Z309</f>
        <v>1.5209999999999999</v>
      </c>
      <c r="AA77" s="3">
        <f>'Chemical Data'!AA309</f>
        <v>0.45400000000000001</v>
      </c>
      <c r="AC77" s="3">
        <f>'Chemical Data'!AC309</f>
        <v>48.68</v>
      </c>
      <c r="AD77" s="3">
        <f>'Chemical Data'!AD309</f>
        <v>15.5</v>
      </c>
      <c r="AE77" s="3">
        <f>'Chemical Data'!AE309</f>
        <v>9.81</v>
      </c>
      <c r="AF77" s="3">
        <f>'Chemical Data'!AF309</f>
        <v>1.81</v>
      </c>
      <c r="AG77" s="3">
        <f>'Chemical Data'!AG309</f>
        <v>7.7</v>
      </c>
      <c r="AH77" t="str">
        <f>'Chemical Data'!AH309</f>
        <v>&lt;0.05</v>
      </c>
      <c r="AI77" t="str">
        <f>'Chemical Data'!AI309</f>
        <v>&lt;0.03</v>
      </c>
      <c r="AJ77" t="str">
        <f>'Chemical Data'!AJ309</f>
        <v>&lt;0.2</v>
      </c>
      <c r="AN77" s="1">
        <f>'Chemical Data'!AN309</f>
        <v>-2203.9992000000002</v>
      </c>
      <c r="AO77" s="1">
        <f>'Chemical Data'!AO309</f>
        <v>171.04089600000003</v>
      </c>
      <c r="AP77" s="1">
        <f>'Chemical Data'!AP309</f>
        <v>100.36774799999999</v>
      </c>
      <c r="AQ77" s="1">
        <f>'Chemical Data'!AQ309</f>
        <v>29.958552000000005</v>
      </c>
      <c r="AS77" s="1"/>
    </row>
    <row r="78" spans="1:45" x14ac:dyDescent="0.3">
      <c r="A78" s="5">
        <f>'Chemical Data'!A310</f>
        <v>44964</v>
      </c>
      <c r="B78" t="str">
        <f>'Chemical Data'!B310</f>
        <v>023</v>
      </c>
      <c r="C78" t="str">
        <f>'Chemical Data'!C310</f>
        <v>KBLDIX</v>
      </c>
      <c r="D78">
        <f>'Chemical Data'!D310</f>
        <v>60152</v>
      </c>
      <c r="E78" t="str">
        <f>'Chemical Data'!E310</f>
        <v>Mouth of Dixon Run</v>
      </c>
      <c r="F78">
        <f>'Chemical Data'!F310</f>
        <v>40.670039000000003</v>
      </c>
      <c r="G78">
        <f>'Chemical Data'!G310</f>
        <v>-79.015269000000004</v>
      </c>
      <c r="H78" t="str">
        <f>'Chemical Data'!H310</f>
        <v>Hedin/ICCD</v>
      </c>
      <c r="J78" s="1">
        <f>'Chemical Data'!J310</f>
        <v>5689</v>
      </c>
      <c r="K78" t="str">
        <f>'Chemical Data'!K310</f>
        <v xml:space="preserve">M </v>
      </c>
      <c r="L78" s="2">
        <f>'Chemical Data'!L310</f>
        <v>6.07</v>
      </c>
      <c r="M78" s="2">
        <f>'Chemical Data'!M310</f>
        <v>6.7</v>
      </c>
      <c r="N78" s="1">
        <f>'Chemical Data'!N310</f>
        <v>467</v>
      </c>
      <c r="O78" s="1">
        <f>'Chemical Data'!O310</f>
        <v>478</v>
      </c>
      <c r="P78">
        <f>'Chemical Data'!P310</f>
        <v>0</v>
      </c>
      <c r="Q78" s="4">
        <f>'Chemical Data'!Q310</f>
        <v>37</v>
      </c>
      <c r="R78" s="4">
        <f>'Chemical Data'!R310</f>
        <v>42.6</v>
      </c>
      <c r="S78" s="4">
        <f>'Chemical Data'!S310</f>
        <v>-25</v>
      </c>
      <c r="T78" s="4">
        <f>'Chemical Data'!T310</f>
        <v>-34.490553098089883</v>
      </c>
      <c r="W78" s="3">
        <f>'Chemical Data'!W310</f>
        <v>3.4289999999999998</v>
      </c>
      <c r="X78" s="3">
        <f>'Chemical Data'!X310</f>
        <v>0.81100000000000005</v>
      </c>
      <c r="Z78" s="3">
        <f>'Chemical Data'!Z310</f>
        <v>2.2349999999999999</v>
      </c>
      <c r="AA78" s="3">
        <f>'Chemical Data'!AA310</f>
        <v>0.56399999999999995</v>
      </c>
      <c r="AB78" s="3">
        <f>'Chemical Data'!AB310</f>
        <v>184.56</v>
      </c>
      <c r="AC78" s="3">
        <f>'Chemical Data'!AC310</f>
        <v>55.34</v>
      </c>
      <c r="AD78" s="3">
        <f>'Chemical Data'!AD310</f>
        <v>18.45</v>
      </c>
      <c r="AE78" s="3">
        <f>'Chemical Data'!AE310</f>
        <v>10.210000000000001</v>
      </c>
      <c r="AF78" s="3">
        <f>'Chemical Data'!AF310</f>
        <v>1.68</v>
      </c>
      <c r="AG78" s="3">
        <f>'Chemical Data'!AG310</f>
        <v>7.6</v>
      </c>
      <c r="AH78" t="str">
        <f>'Chemical Data'!AH310</f>
        <v>&lt;0.05</v>
      </c>
      <c r="AI78">
        <f>'Chemical Data'!AI310</f>
        <v>4.3999999999999997E-2</v>
      </c>
      <c r="AJ78" t="str">
        <f>'Chemical Data'!AJ310</f>
        <v>&lt;0.2</v>
      </c>
      <c r="AN78" s="1">
        <f>'Chemical Data'!AN310</f>
        <v>-1706.7</v>
      </c>
      <c r="AO78" s="1">
        <f>'Chemical Data'!AO310</f>
        <v>234.09097199999999</v>
      </c>
      <c r="AP78" s="1">
        <f>'Chemical Data'!AP310</f>
        <v>152.57898</v>
      </c>
      <c r="AQ78" s="1">
        <f>'Chemical Data'!AQ310</f>
        <v>38.503151999999993</v>
      </c>
      <c r="AR78" s="1">
        <f>'Chemical Data'!AR310</f>
        <v>12599.542080000001</v>
      </c>
      <c r="AS78" s="1">
        <f>'Chemical Data'!AS310</f>
        <v>2908.2168000000001</v>
      </c>
    </row>
    <row r="79" spans="1:45" x14ac:dyDescent="0.3">
      <c r="A79" s="5">
        <f>'Chemical Data'!A311</f>
        <v>45022</v>
      </c>
      <c r="B79" t="str">
        <f>'Chemical Data'!B311</f>
        <v>012</v>
      </c>
      <c r="C79" t="str">
        <f>'Chemical Data'!C311</f>
        <v>KBLDIX</v>
      </c>
      <c r="D79">
        <f>'Chemical Data'!D311</f>
        <v>60152</v>
      </c>
      <c r="E79" t="str">
        <f>'Chemical Data'!E311</f>
        <v>Mouth of Dixon Run</v>
      </c>
      <c r="F79">
        <f>'Chemical Data'!F311</f>
        <v>40.670039000000003</v>
      </c>
      <c r="G79">
        <f>'Chemical Data'!G311</f>
        <v>-79.015269000000004</v>
      </c>
      <c r="H79" t="str">
        <f>'Chemical Data'!H311</f>
        <v>Hedin/ICCD</v>
      </c>
      <c r="J79" s="1">
        <f>'Chemical Data'!J311</f>
        <v>8082</v>
      </c>
      <c r="K79" t="str">
        <f>'Chemical Data'!K311</f>
        <v>M</v>
      </c>
      <c r="L79" s="2">
        <f>'Chemical Data'!L311</f>
        <v>6.85</v>
      </c>
      <c r="M79" s="2">
        <f>'Chemical Data'!M311</f>
        <v>6.3</v>
      </c>
      <c r="N79" s="1">
        <f>'Chemical Data'!N311</f>
        <v>372</v>
      </c>
      <c r="O79" s="1">
        <f>'Chemical Data'!O311</f>
        <v>405</v>
      </c>
      <c r="P79">
        <f>'Chemical Data'!P311</f>
        <v>11.2</v>
      </c>
      <c r="Q79" s="4">
        <f>R79</f>
        <v>40.4</v>
      </c>
      <c r="R79" s="4">
        <f>'Chemical Data'!R311</f>
        <v>40.4</v>
      </c>
      <c r="S79" s="4">
        <f>'Chemical Data'!S311</f>
        <v>-26</v>
      </c>
      <c r="T79" s="4">
        <f>'Chemical Data'!T311</f>
        <v>-38.571547312276884</v>
      </c>
      <c r="W79" s="3">
        <f>'Chemical Data'!W311</f>
        <v>3.1</v>
      </c>
      <c r="X79" s="3">
        <f>'Chemical Data'!X311</f>
        <v>0.56100000000000005</v>
      </c>
      <c r="Z79" s="3">
        <f>'Chemical Data'!Z311</f>
        <v>1.76</v>
      </c>
      <c r="AA79" s="3">
        <f>'Chemical Data'!AA311</f>
        <v>0.45400000000000001</v>
      </c>
      <c r="AB79" s="3">
        <f>'Chemical Data'!AB311</f>
        <v>145.15</v>
      </c>
      <c r="AC79" s="3">
        <f>'Chemical Data'!AC311</f>
        <v>50</v>
      </c>
      <c r="AD79" s="3">
        <f>'Chemical Data'!AD311</f>
        <v>15.8</v>
      </c>
      <c r="AE79" s="3">
        <f>'Chemical Data'!AE311</f>
        <v>8.9</v>
      </c>
      <c r="AF79" s="3">
        <f>'Chemical Data'!AF311</f>
        <v>1.68</v>
      </c>
      <c r="AG79" s="3">
        <f>'Chemical Data'!AG311</f>
        <v>7</v>
      </c>
      <c r="AH79" t="str">
        <f>'Chemical Data'!AH311</f>
        <v>&lt;0.05</v>
      </c>
      <c r="AI79">
        <f>'Chemical Data'!AI311</f>
        <v>3.2000000000000001E-2</v>
      </c>
      <c r="AJ79" t="str">
        <f>'Chemical Data'!AJ311</f>
        <v>&lt;0.2</v>
      </c>
      <c r="AN79" s="1">
        <f>'Chemical Data'!AN311</f>
        <v>-2521.5839999999998</v>
      </c>
      <c r="AO79" s="1">
        <f>'Chemical Data'!AO311</f>
        <v>300.65039999999999</v>
      </c>
      <c r="AP79" s="1">
        <f>'Chemical Data'!AP311</f>
        <v>170.69184000000001</v>
      </c>
      <c r="AQ79" s="1">
        <f>'Chemical Data'!AQ311</f>
        <v>44.030736000000005</v>
      </c>
      <c r="AR79" s="1">
        <f>'Chemical Data'!AR311</f>
        <v>14077.2276</v>
      </c>
      <c r="AS79" s="1">
        <f>'Chemical Data'!AS311</f>
        <v>3918.1536000000001</v>
      </c>
    </row>
    <row r="80" spans="1:45" x14ac:dyDescent="0.3">
      <c r="A80" s="5">
        <f>'Chemical Data'!A312</f>
        <v>45098</v>
      </c>
      <c r="B80" t="str">
        <f>'Chemical Data'!B312</f>
        <v>040</v>
      </c>
      <c r="C80" t="str">
        <f>'Chemical Data'!C312</f>
        <v>KBLDIX</v>
      </c>
      <c r="D80">
        <f>'Chemical Data'!D312</f>
        <v>60152</v>
      </c>
      <c r="E80" t="str">
        <f>'Chemical Data'!E312</f>
        <v>Mouth of Dixon Run</v>
      </c>
      <c r="F80">
        <f>'Chemical Data'!F312</f>
        <v>40.670039000000003</v>
      </c>
      <c r="G80">
        <f>'Chemical Data'!G312</f>
        <v>-79.015269000000004</v>
      </c>
      <c r="H80" t="str">
        <f>'Chemical Data'!H312</f>
        <v>SFU/ICCD</v>
      </c>
      <c r="J80" s="1">
        <f>'Chemical Data'!J312</f>
        <v>966</v>
      </c>
      <c r="K80" t="str">
        <f>'Chemical Data'!K312</f>
        <v>M</v>
      </c>
      <c r="L80" s="2">
        <f>'Chemical Data'!L312</f>
        <v>7.26</v>
      </c>
      <c r="M80" s="2">
        <f>'Chemical Data'!M312</f>
        <v>6.2</v>
      </c>
      <c r="N80" s="1">
        <f>'Chemical Data'!N312</f>
        <v>682</v>
      </c>
      <c r="O80" s="1">
        <f>'Chemical Data'!O312</f>
        <v>672</v>
      </c>
      <c r="P80">
        <f>'Chemical Data'!P312</f>
        <v>0</v>
      </c>
      <c r="Q80" s="4">
        <f>R80</f>
        <v>30.2</v>
      </c>
      <c r="R80" s="4">
        <f>'Chemical Data'!R312</f>
        <v>30.2</v>
      </c>
      <c r="S80" s="4">
        <f>'Chemical Data'!S312</f>
        <v>-16.399999999999999</v>
      </c>
      <c r="T80" s="4">
        <f>'Chemical Data'!T312</f>
        <v>-28.247152295630713</v>
      </c>
      <c r="W80" s="3">
        <f>'Chemical Data'!W312</f>
        <v>2.1709999999999998</v>
      </c>
      <c r="X80" s="3">
        <f>'Chemical Data'!X312</f>
        <v>0.11</v>
      </c>
      <c r="Z80" s="3">
        <f>'Chemical Data'!Z312</f>
        <v>1.6850000000000001</v>
      </c>
      <c r="AA80" s="3">
        <f>'Chemical Data'!AA312</f>
        <v>0.97399999999999998</v>
      </c>
      <c r="AB80" s="3">
        <f>'Chemical Data'!AB312</f>
        <v>302.56</v>
      </c>
      <c r="AC80" s="3">
        <f>'Chemical Data'!AC312</f>
        <v>82.01</v>
      </c>
      <c r="AD80" s="3">
        <f>'Chemical Data'!AD312</f>
        <v>26.75</v>
      </c>
      <c r="AE80" s="3">
        <f>'Chemical Data'!AE312</f>
        <v>16.53</v>
      </c>
      <c r="AF80" s="3">
        <f>'Chemical Data'!AF312</f>
        <v>2.39</v>
      </c>
      <c r="AG80" s="3">
        <f>'Chemical Data'!AG312</f>
        <v>30.4</v>
      </c>
      <c r="AH80">
        <f>'Chemical Data'!AH312</f>
        <v>0.05</v>
      </c>
      <c r="AI80">
        <f>'Chemical Data'!AI312</f>
        <v>0.03</v>
      </c>
      <c r="AJ80">
        <f>'Chemical Data'!AJ312</f>
        <v>0.2</v>
      </c>
      <c r="AN80" s="1">
        <f>'Chemical Data'!AN312</f>
        <v>-190.10879999999997</v>
      </c>
      <c r="AO80" s="1">
        <f>'Chemical Data'!AO312</f>
        <v>25.166231999999997</v>
      </c>
      <c r="AP80" s="1">
        <f>'Chemical Data'!AP312</f>
        <v>19.532520000000002</v>
      </c>
      <c r="AQ80" s="1">
        <f>'Chemical Data'!AQ312</f>
        <v>11.290608000000001</v>
      </c>
      <c r="AR80" s="1">
        <f>'Chemical Data'!AR312</f>
        <v>3507.2755200000001</v>
      </c>
      <c r="AS80" s="1">
        <f>'Chemical Data'!AS312</f>
        <v>350.07839999999999</v>
      </c>
    </row>
    <row r="81" spans="1:45" x14ac:dyDescent="0.3">
      <c r="A81" s="5">
        <v>45169</v>
      </c>
      <c r="B81" t="str">
        <f>'Chemical Data'!B313</f>
        <v>024</v>
      </c>
      <c r="C81" t="str">
        <f>'Chemical Data'!C313</f>
        <v>KBLDIX</v>
      </c>
      <c r="D81">
        <f>'Chemical Data'!D313</f>
        <v>60152</v>
      </c>
      <c r="E81" t="str">
        <f>'Chemical Data'!E313</f>
        <v>Mouth of Dixon Run</v>
      </c>
      <c r="F81">
        <f>'Chemical Data'!F313</f>
        <v>40.670039000000003</v>
      </c>
      <c r="G81">
        <f>'Chemical Data'!G313</f>
        <v>-79.015269000000004</v>
      </c>
      <c r="H81" t="str">
        <f>'Chemical Data'!H313</f>
        <v>Hedin</v>
      </c>
      <c r="J81" s="1">
        <f>'Chemical Data'!J313</f>
        <v>4283.46</v>
      </c>
      <c r="K81" t="str">
        <f>'Chemical Data'!K313</f>
        <v>M</v>
      </c>
      <c r="L81" s="2">
        <f>'Chemical Data'!L313</f>
        <v>6.77</v>
      </c>
      <c r="M81" s="2">
        <f>'Chemical Data'!M313</f>
        <v>6.7</v>
      </c>
      <c r="N81" s="1">
        <f>'Chemical Data'!N313</f>
        <v>492</v>
      </c>
      <c r="O81" s="1">
        <f>'Chemical Data'!O313</f>
        <v>514</v>
      </c>
      <c r="P81">
        <f>'Chemical Data'!P313</f>
        <v>15.8</v>
      </c>
      <c r="Q81" s="4">
        <f>'Chemical Data'!Q313</f>
        <v>35</v>
      </c>
      <c r="R81" s="4">
        <f>'Chemical Data'!R313</f>
        <v>43.6</v>
      </c>
      <c r="S81" s="4">
        <f>'Chemical Data'!S313</f>
        <v>-31.8</v>
      </c>
      <c r="T81" s="4">
        <f>'Chemical Data'!T313</f>
        <v>-32.913438781737689</v>
      </c>
      <c r="W81" s="3">
        <f>'Chemical Data'!W313</f>
        <v>3.61</v>
      </c>
      <c r="X81" s="3">
        <f>'Chemical Data'!X313</f>
        <v>0.27300000000000002</v>
      </c>
      <c r="Z81" s="3">
        <f>'Chemical Data'!Z313</f>
        <v>2.86</v>
      </c>
      <c r="AA81" s="3">
        <f>'Chemical Data'!AA313</f>
        <v>0.88300000000000001</v>
      </c>
      <c r="AB81" s="3">
        <f>'Chemical Data'!AB313</f>
        <v>205.47</v>
      </c>
      <c r="AC81" s="3">
        <f>'Chemical Data'!AC313</f>
        <v>61.5</v>
      </c>
      <c r="AD81" s="3">
        <f>'Chemical Data'!AD313</f>
        <v>20.100000000000001</v>
      </c>
      <c r="AE81" s="3">
        <f>'Chemical Data'!AE313</f>
        <v>11.9</v>
      </c>
      <c r="AF81" s="3">
        <f>'Chemical Data'!AF313</f>
        <v>2.0299999999999998</v>
      </c>
      <c r="AG81" s="3">
        <f>'Chemical Data'!AG313</f>
        <v>5.9</v>
      </c>
      <c r="AH81">
        <f>'Chemical Data'!AH313</f>
        <v>0.05</v>
      </c>
      <c r="AI81">
        <f>'Chemical Data'!AI313</f>
        <v>0.03</v>
      </c>
      <c r="AJ81">
        <f>'Chemical Data'!AJ313</f>
        <v>0.2</v>
      </c>
      <c r="AN81" s="1">
        <f>'Chemical Data'!AN313</f>
        <v>-1634.5683359999998</v>
      </c>
      <c r="AO81" s="1">
        <f>'Chemical Data'!AO313</f>
        <v>185.55948720000001</v>
      </c>
      <c r="AP81" s="1">
        <f>'Chemical Data'!AP313</f>
        <v>147.0083472</v>
      </c>
      <c r="AQ81" s="1">
        <f>'Chemical Data'!AQ313</f>
        <v>45.387542160000002</v>
      </c>
      <c r="AR81" s="1">
        <f>'Chemical Data'!AR313</f>
        <v>10561.4703144</v>
      </c>
      <c r="AS81" s="1">
        <f>'Chemical Data'!AS313</f>
        <v>2241.106272</v>
      </c>
    </row>
    <row r="82" spans="1:45" ht="15" customHeight="1" x14ac:dyDescent="0.3">
      <c r="A82" s="5">
        <f>'Chemical Data'!A314</f>
        <v>45366</v>
      </c>
      <c r="B82">
        <f>'Chemical Data'!B314</f>
        <v>0</v>
      </c>
      <c r="C82" t="str">
        <f>'Chemical Data'!C314</f>
        <v>KBLDIX</v>
      </c>
      <c r="D82">
        <f>'Chemical Data'!D314</f>
        <v>60152</v>
      </c>
      <c r="E82" t="str">
        <f>'Chemical Data'!E314</f>
        <v>Mouth of Dixon Run</v>
      </c>
      <c r="F82">
        <f>'Chemical Data'!F314</f>
        <v>40.670039000000003</v>
      </c>
      <c r="G82">
        <f>'Chemical Data'!G314</f>
        <v>-79.015269000000004</v>
      </c>
      <c r="H82" t="str">
        <f>'Chemical Data'!H314</f>
        <v>Hedin/ICCD</v>
      </c>
      <c r="J82" s="1">
        <f>'Chemical Data'!J314</f>
        <v>12328.21</v>
      </c>
      <c r="K82" t="str">
        <f>'Chemical Data'!K314</f>
        <v>M</v>
      </c>
      <c r="M82" s="2">
        <f>'Chemical Data'!M314</f>
        <v>6.5</v>
      </c>
      <c r="R82" s="4">
        <f>'Chemical Data'!R314</f>
        <v>48</v>
      </c>
      <c r="S82" s="4">
        <f>'Chemical Data'!S314</f>
        <v>-22.8</v>
      </c>
      <c r="T82" s="4">
        <f>'Chemical Data'!T314</f>
        <v>-46.518338611699157</v>
      </c>
      <c r="W82" s="3">
        <f>'Chemical Data'!W314</f>
        <v>2.3620000000000001</v>
      </c>
      <c r="X82" s="3">
        <f>'Chemical Data'!X314</f>
        <v>0.47499999999999998</v>
      </c>
      <c r="Z82" s="3">
        <f>'Chemical Data'!Z314</f>
        <v>1.736</v>
      </c>
      <c r="AA82" s="3">
        <f>'Chemical Data'!AA314</f>
        <v>0.34200000000000003</v>
      </c>
      <c r="AB82" s="3">
        <f>'Chemical Data'!AB314</f>
        <v>121.9</v>
      </c>
      <c r="AN82" s="1">
        <f>'Chemical Data'!AN314</f>
        <v>-3372.9982559999999</v>
      </c>
      <c r="AO82" s="1">
        <f>'Chemical Data'!AO314</f>
        <v>349.43078423999998</v>
      </c>
      <c r="AP82" s="1">
        <f>'Chemical Data'!AP314</f>
        <v>256.82127071999997</v>
      </c>
      <c r="AQ82" s="1">
        <f>'Chemical Data'!AQ314</f>
        <v>50.594973839999994</v>
      </c>
      <c r="AR82" s="1">
        <f>'Chemical Data'!AR314</f>
        <v>18033.705588000001</v>
      </c>
      <c r="AS82" s="1">
        <f>'Chemical Data'!AS314</f>
        <v>7101.0489600000001</v>
      </c>
    </row>
    <row r="83" spans="1:45" ht="15" customHeight="1" x14ac:dyDescent="0.3">
      <c r="A83" s="5">
        <f>'Chemical Data'!A315</f>
        <v>45527</v>
      </c>
      <c r="B83" t="str">
        <f>'Chemical Data'!B315</f>
        <v>013</v>
      </c>
      <c r="C83" t="str">
        <f>'Chemical Data'!C315</f>
        <v>KBLDIX</v>
      </c>
      <c r="D83">
        <f>'Chemical Data'!D315</f>
        <v>60152</v>
      </c>
      <c r="E83" t="str">
        <f>'Chemical Data'!E315</f>
        <v>Mouth of Dixon Run</v>
      </c>
      <c r="F83">
        <f>'Chemical Data'!F315</f>
        <v>40.670039000000003</v>
      </c>
      <c r="G83">
        <f>'Chemical Data'!G315</f>
        <v>-79.015269000000004</v>
      </c>
      <c r="H83" t="str">
        <f>'Chemical Data'!H315</f>
        <v>Hedin/ICCD</v>
      </c>
      <c r="J83" s="4">
        <f>'Chemical Data'!J315</f>
        <v>2486</v>
      </c>
      <c r="K83" s="4" t="str">
        <f>'Chemical Data'!K315</f>
        <v>M</v>
      </c>
      <c r="L83" s="4">
        <f>'Chemical Data'!L315</f>
        <v>7.16</v>
      </c>
      <c r="M83" s="2">
        <f>'Chemical Data'!M315</f>
        <v>6.4</v>
      </c>
      <c r="N83" s="4">
        <f>'Chemical Data'!N315</f>
        <v>556</v>
      </c>
      <c r="O83" s="4"/>
      <c r="P83" s="4">
        <f>'Chemical Data'!P315</f>
        <v>0</v>
      </c>
      <c r="R83" s="4">
        <f>'Chemical Data'!R315</f>
        <v>42.2</v>
      </c>
      <c r="S83" s="4">
        <f>'Chemical Data'!S315</f>
        <v>-22.6</v>
      </c>
      <c r="T83" s="4">
        <f>'Chemical Data'!T315</f>
        <v>-40.232204641472329</v>
      </c>
      <c r="U83" s="4"/>
      <c r="V83" s="4"/>
      <c r="W83" s="4">
        <f>'Chemical Data'!W315</f>
        <v>3.41</v>
      </c>
      <c r="X83" s="3">
        <f>'Chemical Data'!X315</f>
        <v>0.33100000000000002</v>
      </c>
      <c r="Z83" s="3">
        <f>'Chemical Data'!Z315</f>
        <v>3.468</v>
      </c>
      <c r="AA83" s="3">
        <f>'Chemical Data'!AA315</f>
        <v>0.753</v>
      </c>
      <c r="AB83" s="4">
        <f>'Chemical Data'!AB315</f>
        <v>267.60000000000002</v>
      </c>
      <c r="AC83" s="4"/>
      <c r="AD83" s="4"/>
      <c r="AE83" s="4"/>
      <c r="AF83" s="4"/>
      <c r="AG83" s="4"/>
      <c r="AH83" s="4"/>
      <c r="AI83" s="4"/>
      <c r="AJ83" s="4"/>
      <c r="AK83" s="4">
        <f>'Chemical Data'!AK315</f>
        <v>21</v>
      </c>
      <c r="AL83" s="4">
        <f>'Chemical Data'!AL315</f>
        <v>404</v>
      </c>
      <c r="AM83" s="4"/>
      <c r="AN83" s="4">
        <f>'Chemical Data'!AN315</f>
        <v>-674.20320000000004</v>
      </c>
      <c r="AO83" s="4">
        <f>'Chemical Data'!AO315</f>
        <v>101.72712</v>
      </c>
      <c r="AP83" s="4">
        <f>'Chemical Data'!AP315</f>
        <v>103.45737600000001</v>
      </c>
      <c r="AQ83" s="4">
        <f>'Chemical Data'!AQ315</f>
        <v>22.463496000000003</v>
      </c>
      <c r="AR83" s="4">
        <f>'Chemical Data'!AR315</f>
        <v>7983.043200000001</v>
      </c>
      <c r="AS83" s="4">
        <f>'Chemical Data'!AS315</f>
        <v>1258.9104000000002</v>
      </c>
    </row>
    <row r="84" spans="1:45" s="7" customFormat="1" x14ac:dyDescent="0.3">
      <c r="A84" s="45" t="s">
        <v>144</v>
      </c>
      <c r="J84" s="20">
        <f t="shared" ref="J84:R84" si="14">AVERAGE(J76:J83)</f>
        <v>5115.4587499999998</v>
      </c>
      <c r="K84" s="20" t="e">
        <f t="shared" si="14"/>
        <v>#DIV/0!</v>
      </c>
      <c r="L84" s="50">
        <f t="shared" si="14"/>
        <v>6.8471428571428561</v>
      </c>
      <c r="M84" s="50">
        <f t="shared" si="14"/>
        <v>6.5500000000000007</v>
      </c>
      <c r="N84" s="20">
        <f t="shared" si="14"/>
        <v>525.51428571428573</v>
      </c>
      <c r="O84" s="20">
        <f t="shared" si="14"/>
        <v>533.5</v>
      </c>
      <c r="P84" s="20">
        <f t="shared" si="14"/>
        <v>6.4142857142857137</v>
      </c>
      <c r="Q84" s="20">
        <f t="shared" si="14"/>
        <v>36.35</v>
      </c>
      <c r="R84" s="20">
        <f t="shared" si="14"/>
        <v>39.725000000000001</v>
      </c>
      <c r="S84" s="20">
        <f>AVERAGE(S76:S83)</f>
        <v>-21.975000000000001</v>
      </c>
      <c r="T84" s="20">
        <f>AVERAGE(T76:T83)</f>
        <v>-36.083649777664867</v>
      </c>
      <c r="U84" s="20">
        <f t="shared" ref="U84:W84" si="15">AVERAGE(U76:U82)</f>
        <v>10.09</v>
      </c>
      <c r="V84" s="20">
        <f t="shared" si="15"/>
        <v>87.3</v>
      </c>
      <c r="W84" s="30">
        <f t="shared" si="15"/>
        <v>3.4258571428571432</v>
      </c>
      <c r="X84" s="20">
        <f>AVERAGE(X76:X83)</f>
        <v>0.63412499999999994</v>
      </c>
      <c r="Y84" s="20"/>
      <c r="Z84" s="20">
        <f t="shared" ref="Z84:AS84" si="16">AVERAGE(Z76:Z83)</f>
        <v>2.4907499999999998</v>
      </c>
      <c r="AA84" s="20">
        <f t="shared" si="16"/>
        <v>0.72487499999999994</v>
      </c>
      <c r="AB84" s="20">
        <f t="shared" si="16"/>
        <v>225.77857142857147</v>
      </c>
      <c r="AC84" s="20">
        <f t="shared" si="16"/>
        <v>63.843333333333334</v>
      </c>
      <c r="AD84" s="20">
        <f t="shared" si="16"/>
        <v>21.128333333333334</v>
      </c>
      <c r="AE84" s="20">
        <f t="shared" si="16"/>
        <v>12.790000000000001</v>
      </c>
      <c r="AF84" s="20">
        <f t="shared" si="16"/>
        <v>2.0049999999999999</v>
      </c>
      <c r="AG84" s="20">
        <f t="shared" si="16"/>
        <v>11.25</v>
      </c>
      <c r="AH84" s="20">
        <f t="shared" si="16"/>
        <v>5.4333333333333338E-2</v>
      </c>
      <c r="AI84" s="20">
        <f t="shared" si="16"/>
        <v>5.16E-2</v>
      </c>
      <c r="AJ84" s="20">
        <f t="shared" si="16"/>
        <v>0.2</v>
      </c>
      <c r="AK84" s="20">
        <f t="shared" si="16"/>
        <v>21</v>
      </c>
      <c r="AL84" s="20">
        <f t="shared" si="16"/>
        <v>404</v>
      </c>
      <c r="AM84" s="20"/>
      <c r="AN84" s="20">
        <f t="shared" si="16"/>
        <v>-1532.773224</v>
      </c>
      <c r="AO84" s="20">
        <f t="shared" si="16"/>
        <v>186.97828142999998</v>
      </c>
      <c r="AP84" s="20">
        <f t="shared" si="16"/>
        <v>129.92374523999999</v>
      </c>
      <c r="AQ84" s="20">
        <f t="shared" si="16"/>
        <v>33.558007500000002</v>
      </c>
      <c r="AR84" s="20">
        <f t="shared" si="16"/>
        <v>10500.21587177143</v>
      </c>
      <c r="AS84" s="20">
        <f t="shared" si="16"/>
        <v>2596.3397760000003</v>
      </c>
    </row>
    <row r="86" spans="1:45" x14ac:dyDescent="0.3">
      <c r="A86" s="5">
        <v>37943</v>
      </c>
      <c r="B86" t="s">
        <v>210</v>
      </c>
      <c r="J86" s="1">
        <v>100</v>
      </c>
      <c r="K86" t="s">
        <v>106</v>
      </c>
      <c r="L86" s="2">
        <v>2.9</v>
      </c>
      <c r="R86" s="4">
        <v>0</v>
      </c>
      <c r="W86" s="3">
        <f>18100/1000</f>
        <v>18.100000000000001</v>
      </c>
      <c r="Z86" s="3">
        <f>30000/1000</f>
        <v>30</v>
      </c>
      <c r="AA86" s="3">
        <f>4390/1000</f>
        <v>4.3899999999999997</v>
      </c>
      <c r="AB86" s="3">
        <v>852.3</v>
      </c>
    </row>
    <row r="87" spans="1:45" x14ac:dyDescent="0.3">
      <c r="A87" s="5">
        <v>38104</v>
      </c>
      <c r="B87" t="s">
        <v>210</v>
      </c>
      <c r="L87" s="2">
        <v>3.2</v>
      </c>
      <c r="R87" s="4">
        <v>0</v>
      </c>
      <c r="W87" s="3">
        <f>7840/1000</f>
        <v>7.84</v>
      </c>
      <c r="Z87" s="3">
        <f>16300/1000</f>
        <v>16.3</v>
      </c>
      <c r="AA87" s="3">
        <f>2260/1000</f>
        <v>2.2599999999999998</v>
      </c>
      <c r="AB87" s="3">
        <v>825.5</v>
      </c>
    </row>
    <row r="88" spans="1:45" x14ac:dyDescent="0.3">
      <c r="A88" s="5">
        <v>38251</v>
      </c>
      <c r="B88" t="s">
        <v>210</v>
      </c>
      <c r="L88" s="2">
        <v>3.3</v>
      </c>
      <c r="R88" s="4">
        <v>0</v>
      </c>
      <c r="W88" s="3">
        <f>8800/1000</f>
        <v>8.8000000000000007</v>
      </c>
      <c r="Z88" s="3">
        <f>20000/1000</f>
        <v>20</v>
      </c>
      <c r="AA88" s="3">
        <f>4270/1000</f>
        <v>4.2699999999999996</v>
      </c>
      <c r="AB88" s="3">
        <v>728.4</v>
      </c>
    </row>
    <row r="89" spans="1:45" x14ac:dyDescent="0.3">
      <c r="A89" s="5">
        <v>38427</v>
      </c>
      <c r="B89" t="s">
        <v>210</v>
      </c>
      <c r="L89" s="2">
        <v>3.1</v>
      </c>
      <c r="R89" s="4">
        <v>0</v>
      </c>
      <c r="W89" s="3">
        <f>20100/1000</f>
        <v>20.100000000000001</v>
      </c>
      <c r="Z89" s="3">
        <f>23600/1000</f>
        <v>23.6</v>
      </c>
      <c r="AA89" s="3">
        <f>3760/1000</f>
        <v>3.76</v>
      </c>
      <c r="AB89" s="3">
        <v>854</v>
      </c>
    </row>
    <row r="90" spans="1:45" x14ac:dyDescent="0.3">
      <c r="A90" s="5">
        <v>38454</v>
      </c>
      <c r="B90" t="s">
        <v>210</v>
      </c>
      <c r="L90" s="2">
        <v>3.2</v>
      </c>
      <c r="R90" s="4">
        <v>0</v>
      </c>
      <c r="W90" s="3">
        <f>15400/1000</f>
        <v>15.4</v>
      </c>
      <c r="Z90" s="3">
        <f>22400/1000</f>
        <v>22.4</v>
      </c>
      <c r="AA90" s="3">
        <f>3420/1000</f>
        <v>3.42</v>
      </c>
      <c r="AB90" s="3">
        <v>854.8</v>
      </c>
    </row>
    <row r="91" spans="1:45" x14ac:dyDescent="0.3">
      <c r="A91" s="5">
        <v>38489</v>
      </c>
      <c r="B91" t="s">
        <v>210</v>
      </c>
      <c r="L91" s="2">
        <v>3.1</v>
      </c>
      <c r="R91" s="4">
        <v>0</v>
      </c>
      <c r="W91" s="3">
        <f>27100/1000</f>
        <v>27.1</v>
      </c>
      <c r="Z91" s="3">
        <f>23700/1000</f>
        <v>23.7</v>
      </c>
      <c r="AA91" s="3">
        <f>4300/1000</f>
        <v>4.3</v>
      </c>
      <c r="AB91" s="3">
        <v>996.5</v>
      </c>
    </row>
    <row r="92" spans="1:45" x14ac:dyDescent="0.3">
      <c r="A92" s="5">
        <v>39757</v>
      </c>
      <c r="B92" t="s">
        <v>210</v>
      </c>
      <c r="L92" s="2">
        <v>3.1</v>
      </c>
      <c r="R92" s="4">
        <v>0</v>
      </c>
      <c r="W92" s="3">
        <f>31156/1000</f>
        <v>31.155999999999999</v>
      </c>
      <c r="Z92" s="3">
        <f>29884/1000</f>
        <v>29.884</v>
      </c>
      <c r="AA92" s="3">
        <f>4793/1000</f>
        <v>4.7930000000000001</v>
      </c>
      <c r="AB92" s="3">
        <v>1158.8</v>
      </c>
    </row>
    <row r="93" spans="1:45" x14ac:dyDescent="0.3">
      <c r="A93" s="5">
        <v>40065</v>
      </c>
      <c r="B93" t="s">
        <v>210</v>
      </c>
      <c r="L93" s="2">
        <v>2.8</v>
      </c>
      <c r="R93" s="4">
        <v>0</v>
      </c>
      <c r="W93" s="3">
        <f>18791/1000</f>
        <v>18.791</v>
      </c>
      <c r="Z93" s="3">
        <f>32509/1000</f>
        <v>32.509</v>
      </c>
      <c r="AA93" s="3">
        <f>4252/1000</f>
        <v>4.2519999999999998</v>
      </c>
      <c r="AB93" s="3">
        <v>908.4</v>
      </c>
    </row>
    <row r="94" spans="1:45" x14ac:dyDescent="0.3">
      <c r="A94" s="5">
        <v>40232</v>
      </c>
      <c r="B94" t="s">
        <v>210</v>
      </c>
      <c r="J94" s="1">
        <v>100</v>
      </c>
      <c r="K94" t="s">
        <v>106</v>
      </c>
      <c r="L94" s="2">
        <v>2.9</v>
      </c>
      <c r="R94" s="4">
        <v>0</v>
      </c>
      <c r="W94" s="3">
        <f>14370/1000</f>
        <v>14.37</v>
      </c>
      <c r="Z94" s="3">
        <f>30418/1000</f>
        <v>30.417999999999999</v>
      </c>
      <c r="AA94" s="3">
        <f>3762/1000</f>
        <v>3.762</v>
      </c>
      <c r="AB94" s="3">
        <v>907</v>
      </c>
    </row>
    <row r="95" spans="1:45" x14ac:dyDescent="0.3">
      <c r="A95" s="5">
        <v>40570</v>
      </c>
      <c r="B95" t="s">
        <v>210</v>
      </c>
      <c r="J95" s="1">
        <v>75</v>
      </c>
      <c r="K95" t="s">
        <v>106</v>
      </c>
      <c r="L95" s="2">
        <v>3</v>
      </c>
      <c r="R95" s="4">
        <v>0</v>
      </c>
      <c r="W95" s="3">
        <f>18644/1000</f>
        <v>18.643999999999998</v>
      </c>
      <c r="Z95" s="3">
        <f>33695/1000</f>
        <v>33.695</v>
      </c>
      <c r="AA95" s="3">
        <f>4101/1000</f>
        <v>4.101</v>
      </c>
      <c r="AB95" s="3">
        <v>1019.7</v>
      </c>
    </row>
    <row r="96" spans="1:45" x14ac:dyDescent="0.3">
      <c r="A96" s="5">
        <v>40863</v>
      </c>
      <c r="B96" t="s">
        <v>210</v>
      </c>
      <c r="L96" s="2">
        <v>2.9</v>
      </c>
      <c r="R96" s="4">
        <v>0</v>
      </c>
      <c r="W96" s="3">
        <f>13003/1000</f>
        <v>13.003</v>
      </c>
      <c r="Z96" s="3">
        <f>28421/1000</f>
        <v>28.420999999999999</v>
      </c>
      <c r="AA96" s="3">
        <f>3450/1000</f>
        <v>3.45</v>
      </c>
      <c r="AB96" s="3">
        <v>885.9</v>
      </c>
    </row>
    <row r="97" spans="1:28" x14ac:dyDescent="0.3">
      <c r="A97" s="5">
        <v>41052</v>
      </c>
      <c r="B97" t="s">
        <v>210</v>
      </c>
      <c r="L97" s="2">
        <v>3</v>
      </c>
      <c r="R97" s="4">
        <v>0</v>
      </c>
      <c r="W97" s="3">
        <f>8980/1000</f>
        <v>8.98</v>
      </c>
      <c r="Z97" s="3">
        <f>21343/1000</f>
        <v>21.343</v>
      </c>
      <c r="AA97" s="3">
        <f>2635/1000</f>
        <v>2.6349999999999998</v>
      </c>
      <c r="AB97" s="3">
        <v>851.6</v>
      </c>
    </row>
    <row r="98" spans="1:28" x14ac:dyDescent="0.3">
      <c r="A98" s="5">
        <v>41173</v>
      </c>
      <c r="B98" t="s">
        <v>210</v>
      </c>
      <c r="L98" s="2">
        <v>3</v>
      </c>
      <c r="R98" s="4">
        <v>0</v>
      </c>
      <c r="W98" s="3">
        <f>16343/1000</f>
        <v>16.343</v>
      </c>
      <c r="Z98" s="3">
        <f>28360/1000</f>
        <v>28.36</v>
      </c>
      <c r="AA98" s="3">
        <f>3583/1000</f>
        <v>3.5830000000000002</v>
      </c>
      <c r="AB98" s="3">
        <v>1068.8</v>
      </c>
    </row>
    <row r="99" spans="1:28" x14ac:dyDescent="0.3">
      <c r="A99" s="5">
        <v>41436</v>
      </c>
      <c r="B99" t="s">
        <v>210</v>
      </c>
      <c r="J99" s="1">
        <v>50</v>
      </c>
      <c r="K99" t="s">
        <v>106</v>
      </c>
      <c r="L99" s="2">
        <v>3</v>
      </c>
      <c r="R99" s="4">
        <v>0</v>
      </c>
      <c r="W99" s="3">
        <f>16957/1000</f>
        <v>16.957000000000001</v>
      </c>
      <c r="Z99" s="3">
        <f>25238/1000</f>
        <v>25.238</v>
      </c>
      <c r="AA99" s="3">
        <f>3209/1000</f>
        <v>3.2090000000000001</v>
      </c>
      <c r="AB99" s="3">
        <v>963.8</v>
      </c>
    </row>
    <row r="100" spans="1:28" x14ac:dyDescent="0.3">
      <c r="A100" s="5">
        <v>41725</v>
      </c>
      <c r="B100" t="s">
        <v>210</v>
      </c>
      <c r="J100" s="1">
        <v>35</v>
      </c>
      <c r="K100" t="s">
        <v>106</v>
      </c>
      <c r="L100" s="2">
        <v>3.1</v>
      </c>
      <c r="R100" s="4">
        <v>0</v>
      </c>
      <c r="W100" s="3">
        <f>9960/1000</f>
        <v>9.9600000000000009</v>
      </c>
      <c r="Z100" s="3">
        <v>23.234000000000002</v>
      </c>
      <c r="AA100" s="3">
        <f>2919/1000</f>
        <v>2.919</v>
      </c>
      <c r="AB100" s="3">
        <v>857.1</v>
      </c>
    </row>
    <row r="101" spans="1:28" x14ac:dyDescent="0.3">
      <c r="A101" s="5">
        <v>42228</v>
      </c>
      <c r="B101" t="s">
        <v>210</v>
      </c>
      <c r="J101" s="1">
        <v>15</v>
      </c>
      <c r="K101" t="s">
        <v>106</v>
      </c>
      <c r="L101" s="2">
        <v>2.8</v>
      </c>
      <c r="R101" s="4">
        <v>0</v>
      </c>
      <c r="W101" s="3">
        <f>10740/1000</f>
        <v>10.74</v>
      </c>
      <c r="Z101" s="3">
        <f>28490/1000</f>
        <v>28.49</v>
      </c>
      <c r="AA101" s="3">
        <f>3191/1000</f>
        <v>3.1909999999999998</v>
      </c>
      <c r="AB101" s="3">
        <v>858.8</v>
      </c>
    </row>
    <row r="102" spans="1:28" x14ac:dyDescent="0.3">
      <c r="A102" s="5">
        <v>42486</v>
      </c>
      <c r="B102" t="s">
        <v>210</v>
      </c>
      <c r="L102" s="2">
        <v>3</v>
      </c>
      <c r="R102" s="4">
        <v>0</v>
      </c>
      <c r="W102" s="3">
        <f>12583/1000</f>
        <v>12.583</v>
      </c>
      <c r="Z102" s="3">
        <f>23565/1000</f>
        <v>23.565000000000001</v>
      </c>
      <c r="AA102" s="3">
        <f>2782/1000</f>
        <v>2.782</v>
      </c>
      <c r="AB102" s="3">
        <v>803.3</v>
      </c>
    </row>
  </sheetData>
  <phoneticPr fontId="9" type="noConversion"/>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65E83-9803-4479-B97A-E48783298D14}">
  <dimension ref="A1:AP29"/>
  <sheetViews>
    <sheetView zoomScale="80" zoomScaleNormal="80" workbookViewId="0">
      <pane xSplit="5" ySplit="5" topLeftCell="F6" activePane="bottomRight" state="frozen"/>
      <selection pane="topRight" activeCell="F1" sqref="F1"/>
      <selection pane="bottomLeft" activeCell="A6" sqref="A6"/>
      <selection pane="bottomRight" activeCell="K35" sqref="K35"/>
    </sheetView>
  </sheetViews>
  <sheetFormatPr defaultRowHeight="14.4" x14ac:dyDescent="0.3"/>
  <cols>
    <col min="1" max="1" width="14.6640625" customWidth="1"/>
    <col min="2" max="2" width="10.77734375" bestFit="1" customWidth="1"/>
    <col min="3" max="3" width="9" bestFit="1" customWidth="1"/>
    <col min="4" max="4" width="9.109375" customWidth="1"/>
    <col min="5" max="5" width="34.44140625" bestFit="1" customWidth="1"/>
    <col min="6" max="6" width="10" bestFit="1" customWidth="1"/>
    <col min="7" max="7" width="10.6640625" bestFit="1" customWidth="1"/>
    <col min="8" max="8" width="10.44140625" bestFit="1" customWidth="1"/>
    <col min="9" max="9" width="16.6640625" bestFit="1" customWidth="1"/>
    <col min="10" max="10" width="9.5546875" bestFit="1" customWidth="1"/>
    <col min="11" max="11" width="4.44140625" bestFit="1" customWidth="1"/>
    <col min="12" max="13" width="8.5546875" style="2" bestFit="1" customWidth="1"/>
    <col min="14" max="14" width="15.6640625" style="4" bestFit="1" customWidth="1"/>
    <col min="15" max="15" width="14.5546875" style="4" bestFit="1" customWidth="1"/>
    <col min="16" max="16" width="5.5546875" style="2" bestFit="1" customWidth="1"/>
    <col min="17" max="17" width="12.88671875" style="4" bestFit="1" customWidth="1"/>
    <col min="18" max="18" width="11.6640625" style="4" bestFit="1" customWidth="1"/>
    <col min="19" max="19" width="13.33203125" style="4" bestFit="1" customWidth="1"/>
    <col min="20" max="20" width="14.109375" style="4" bestFit="1" customWidth="1"/>
    <col min="21" max="21" width="5.33203125" style="4" bestFit="1" customWidth="1"/>
    <col min="22" max="22" width="4.5546875" style="4" bestFit="1" customWidth="1"/>
    <col min="23" max="23" width="7.88671875" style="4" bestFit="1" customWidth="1"/>
    <col min="24" max="24" width="8.33203125" style="4" bestFit="1" customWidth="1"/>
    <col min="25" max="25" width="6.6640625" style="4" bestFit="1" customWidth="1"/>
    <col min="26" max="26" width="6.33203125" style="4" bestFit="1" customWidth="1"/>
    <col min="27" max="27" width="8.33203125" style="4" bestFit="1" customWidth="1"/>
    <col min="28" max="28" width="6.6640625" style="4" bestFit="1" customWidth="1"/>
    <col min="29" max="29" width="6.33203125" style="4" bestFit="1" customWidth="1"/>
    <col min="30" max="30" width="5.5546875" style="4" bestFit="1" customWidth="1"/>
    <col min="31" max="31" width="6.33203125" style="4" bestFit="1" customWidth="1"/>
    <col min="32" max="32" width="5.6640625" style="4" bestFit="1" customWidth="1"/>
    <col min="33" max="34" width="6.109375" style="4" bestFit="1" customWidth="1"/>
    <col min="35" max="35" width="5.109375" style="4" bestFit="1" customWidth="1"/>
    <col min="36" max="36" width="6.5546875" customWidth="1"/>
    <col min="37" max="40" width="9" style="4" bestFit="1" customWidth="1"/>
    <col min="41" max="41" width="11" style="4" bestFit="1" customWidth="1"/>
  </cols>
  <sheetData>
    <row r="1" spans="1:42" x14ac:dyDescent="0.3">
      <c r="A1" s="5" t="str">
        <f>'Chemical Data'!A1</f>
        <v>Upper Two Lick Creek Watershed Assessment Growing Greener Grant to Indiana County Conservation District. Data managed by Hedin Environmental. Contact Ben Hedin (ben.hedin@hedinenv.com) with questions.</v>
      </c>
    </row>
    <row r="2" spans="1:42" x14ac:dyDescent="0.3">
      <c r="A2" s="5" t="str">
        <f>'Chemical Data'!A2</f>
        <v>n/m = not measured</v>
      </c>
    </row>
    <row r="4" spans="1:42" x14ac:dyDescent="0.3">
      <c r="A4" s="5" t="str">
        <f>'Chemical Data'!A4</f>
        <v>Date</v>
      </c>
      <c r="B4" s="5" t="str">
        <f>'Chemical Data'!B4</f>
        <v>Sequence #</v>
      </c>
      <c r="C4" s="5" t="str">
        <f>'Chemical Data'!C4</f>
        <v>Project ID</v>
      </c>
      <c r="D4" s="5" t="str">
        <f>'Chemical Data'!D4</f>
        <v>DEP ID #</v>
      </c>
      <c r="E4" s="5" t="str">
        <f>'Chemical Data'!E4</f>
        <v>Description</v>
      </c>
      <c r="F4" s="5" t="str">
        <f>'Chemical Data'!F4</f>
        <v>Lat</v>
      </c>
      <c r="G4" s="5" t="str">
        <f>'Chemical Data'!G4</f>
        <v>Long</v>
      </c>
      <c r="H4" s="5" t="str">
        <f>'Chemical Data'!H4</f>
        <v>Sampler</v>
      </c>
      <c r="I4" s="5" t="str">
        <f>'Chemical Data'!I4</f>
        <v>Stream mile</v>
      </c>
      <c r="J4" s="5" t="str">
        <f>'Chemical Data'!J4</f>
        <v>Flow</v>
      </c>
      <c r="K4" s="5" t="str">
        <f>'Chemical Data'!K4</f>
        <v>E/M</v>
      </c>
      <c r="L4" s="2" t="str">
        <f>'Chemical Data'!L4</f>
        <v>pH, field</v>
      </c>
      <c r="M4" s="2" t="str">
        <f>'Chemical Data'!M4</f>
        <v>pH, lab</v>
      </c>
      <c r="N4" s="4" t="str">
        <f>'Chemical Data'!N4</f>
        <v>Conductivity, field</v>
      </c>
      <c r="O4" s="4" t="str">
        <f>'Chemical Data'!O4</f>
        <v>Conductivity, lab</v>
      </c>
      <c r="P4" s="2" t="str">
        <f>'Chemical Data'!P4</f>
        <v>Temp</v>
      </c>
      <c r="Q4" s="4" t="str">
        <f>'Chemical Data'!Q4</f>
        <v>Alkalinity, field</v>
      </c>
      <c r="R4" s="4" t="str">
        <f>'Chemical Data'!R4</f>
        <v>Alkalinity, lab</v>
      </c>
      <c r="S4" s="4" t="str">
        <f>'Chemical Data'!S4</f>
        <v>Net acidity, lab</v>
      </c>
      <c r="T4" s="4" t="str">
        <f>'Chemical Data'!T4</f>
        <v>Net acidity, calc</v>
      </c>
      <c r="U4" s="4" t="str">
        <f>'Chemical Data'!U4</f>
        <v>DO</v>
      </c>
      <c r="V4" s="4" t="str">
        <f>'Chemical Data'!V4</f>
        <v>DO</v>
      </c>
      <c r="W4" s="4" t="str">
        <f>'Chemical Data'!W4</f>
        <v>Fe, total</v>
      </c>
      <c r="X4" s="4" t="str">
        <f>'Chemical Data'!X4</f>
        <v>Fe+2</v>
      </c>
      <c r="Y4" s="4" t="str">
        <f>'Chemical Data'!Z4</f>
        <v>Al</v>
      </c>
      <c r="Z4" s="4" t="str">
        <f>'Chemical Data'!AA4</f>
        <v>Mn</v>
      </c>
      <c r="AA4" s="4" t="str">
        <f>'Chemical Data'!AB4</f>
        <v>SO4</v>
      </c>
      <c r="AB4" s="4" t="str">
        <f>'Chemical Data'!AC4</f>
        <v>Ca</v>
      </c>
      <c r="AC4" s="4" t="str">
        <f>'Chemical Data'!AD4</f>
        <v>Mg</v>
      </c>
      <c r="AD4" s="4" t="str">
        <f>'Chemical Data'!AE4</f>
        <v>Na</v>
      </c>
      <c r="AE4" s="4" t="str">
        <f>'Chemical Data'!AF4</f>
        <v>K</v>
      </c>
      <c r="AF4" s="4" t="str">
        <f>'Chemical Data'!AG4</f>
        <v>Cl</v>
      </c>
      <c r="AG4" s="4" t="str">
        <f>'Chemical Data'!AH4</f>
        <v>Ni</v>
      </c>
      <c r="AH4" s="4" t="str">
        <f>'Chemical Data'!AI4</f>
        <v>Zn</v>
      </c>
      <c r="AI4" s="4" t="str">
        <f>'Chemical Data'!AJ4</f>
        <v>Br</v>
      </c>
      <c r="AJ4" s="5"/>
      <c r="AK4" s="4" t="str">
        <f>'Chemical Data'!AN4</f>
        <v>Acidity</v>
      </c>
      <c r="AL4" s="4" t="str">
        <f>'Chemical Data'!AO4</f>
        <v>Fe</v>
      </c>
      <c r="AM4" s="4" t="str">
        <f>'Chemical Data'!AP4</f>
        <v>Al</v>
      </c>
      <c r="AN4" s="4" t="str">
        <f>'Chemical Data'!AQ4</f>
        <v>Mn</v>
      </c>
      <c r="AO4" s="4" t="str">
        <f>'Chemical Data'!AR4</f>
        <v>SO4</v>
      </c>
      <c r="AP4" s="5"/>
    </row>
    <row r="5" spans="1:42" x14ac:dyDescent="0.3">
      <c r="A5" s="5"/>
      <c r="B5" s="5"/>
      <c r="C5" s="5"/>
      <c r="D5" s="5"/>
      <c r="E5" s="5"/>
      <c r="F5" s="5"/>
      <c r="G5" s="5"/>
      <c r="H5" s="5"/>
      <c r="I5" s="5" t="str">
        <f>'Chemical Data'!I5</f>
        <v>mile from reservoir</v>
      </c>
      <c r="J5" s="5" t="str">
        <f>'Chemical Data'!J5</f>
        <v>gpm</v>
      </c>
      <c r="K5" s="5"/>
      <c r="N5" s="4" t="str">
        <f>'Chemical Data'!N5</f>
        <v>uS/cm</v>
      </c>
      <c r="O5" s="4" t="str">
        <f>'Chemical Data'!O5</f>
        <v>uS/cm</v>
      </c>
      <c r="P5" s="2" t="str">
        <f>'Chemical Data'!P5</f>
        <v>C</v>
      </c>
      <c r="Q5" s="4" t="str">
        <f>'Chemical Data'!Q5</f>
        <v>mg/L CaCO3</v>
      </c>
      <c r="R5" s="4" t="str">
        <f>'Chemical Data'!R5</f>
        <v>mg/L CaCO3</v>
      </c>
      <c r="S5" s="4" t="str">
        <f>'Chemical Data'!S5</f>
        <v>mg/L CaCO3</v>
      </c>
      <c r="T5" s="4" t="str">
        <f>'Chemical Data'!T5</f>
        <v>mg/L CaCO3</v>
      </c>
      <c r="U5" s="4" t="str">
        <f>'Chemical Data'!U5</f>
        <v>mg/L</v>
      </c>
      <c r="V5" s="4" t="str">
        <f>'Chemical Data'!V5</f>
        <v>%</v>
      </c>
      <c r="W5" s="4" t="str">
        <f>'Chemical Data'!W5</f>
        <v>mg/L</v>
      </c>
      <c r="X5" s="4" t="str">
        <f>'Chemical Data'!X5</f>
        <v>mg/L</v>
      </c>
      <c r="Y5" s="4" t="str">
        <f>'Chemical Data'!Z5</f>
        <v>mg/L</v>
      </c>
      <c r="Z5" s="4" t="str">
        <f>'Chemical Data'!AA5</f>
        <v>mg/L</v>
      </c>
      <c r="AA5" s="4" t="str">
        <f>'Chemical Data'!AB5</f>
        <v>mg/L</v>
      </c>
      <c r="AB5" s="4" t="str">
        <f>'Chemical Data'!AC5</f>
        <v>mg/L</v>
      </c>
      <c r="AC5" s="4" t="str">
        <f>'Chemical Data'!AD5</f>
        <v>mg/L</v>
      </c>
      <c r="AD5" s="4" t="str">
        <f>'Chemical Data'!AE5</f>
        <v>mg/L</v>
      </c>
      <c r="AE5" s="4" t="str">
        <f>'Chemical Data'!AF5</f>
        <v>mg/L</v>
      </c>
      <c r="AF5" s="4" t="str">
        <f>'Chemical Data'!AG5</f>
        <v>mg/L</v>
      </c>
      <c r="AG5" s="4" t="str">
        <f>'Chemical Data'!AH5</f>
        <v>mg/L</v>
      </c>
      <c r="AH5" s="4" t="str">
        <f>'Chemical Data'!AI5</f>
        <v>mg/L</v>
      </c>
      <c r="AI5" s="4" t="str">
        <f>'Chemical Data'!AJ5</f>
        <v>mg/L</v>
      </c>
      <c r="AJ5" s="5"/>
      <c r="AK5" s="4" t="str">
        <f>'Chemical Data'!AN5</f>
        <v>ppd</v>
      </c>
      <c r="AL5" s="4" t="str">
        <f>'Chemical Data'!AO5</f>
        <v>ppd</v>
      </c>
      <c r="AM5" s="4" t="str">
        <f>'Chemical Data'!AP5</f>
        <v>ppd</v>
      </c>
      <c r="AN5" s="4" t="str">
        <f>'Chemical Data'!AQ5</f>
        <v>ppd</v>
      </c>
      <c r="AO5" s="4" t="str">
        <f>'Chemical Data'!AR5</f>
        <v>ppd</v>
      </c>
    </row>
    <row r="6" spans="1:42" x14ac:dyDescent="0.3">
      <c r="A6" s="5">
        <f>'Chemical Data'!A566</f>
        <v>45022</v>
      </c>
      <c r="B6" s="5" t="str">
        <f>'Chemical Data'!B566</f>
        <v>011</v>
      </c>
      <c r="C6" s="5" t="str">
        <f>'Chemical Data'!C566</f>
        <v>Sam 4</v>
      </c>
      <c r="D6" s="5"/>
      <c r="E6" s="5" t="str">
        <f>'Chemical Data'!E566</f>
        <v>Clean trib parallel to Sample Run</v>
      </c>
      <c r="F6" s="5"/>
      <c r="G6" s="5"/>
      <c r="H6" s="5" t="str">
        <f>'Chemical Data'!H566</f>
        <v>SFU</v>
      </c>
      <c r="I6" s="5"/>
      <c r="J6" s="4">
        <f>'Chemical Data'!J566</f>
        <v>23</v>
      </c>
      <c r="K6" s="5" t="str">
        <f>'Chemical Data'!K566</f>
        <v>M</v>
      </c>
      <c r="L6" s="2">
        <f>'Chemical Data'!L566</f>
        <v>6.88</v>
      </c>
      <c r="M6" s="2">
        <f>'Chemical Data'!M566</f>
        <v>6.7</v>
      </c>
      <c r="N6" s="4">
        <f>'Chemical Data'!N566</f>
        <v>245</v>
      </c>
      <c r="O6" s="4">
        <f>'Chemical Data'!O566</f>
        <v>260</v>
      </c>
      <c r="P6" s="2">
        <f>'Chemical Data'!P566</f>
        <v>0</v>
      </c>
      <c r="Q6" s="4">
        <f>'Chemical Data'!Q566</f>
        <v>0</v>
      </c>
      <c r="R6" s="4">
        <f>'Chemical Data'!R566</f>
        <v>62.8</v>
      </c>
      <c r="S6" s="4">
        <f>'Chemical Data'!S566</f>
        <v>-53.2</v>
      </c>
      <c r="T6" s="4">
        <f>'Chemical Data'!T566</f>
        <v>-62.592628716307217</v>
      </c>
      <c r="U6" s="4">
        <f>'Chemical Data'!U566</f>
        <v>0</v>
      </c>
      <c r="V6" s="4">
        <f>'Chemical Data'!V566</f>
        <v>0</v>
      </c>
      <c r="W6" s="4">
        <f>'Chemical Data'!W566</f>
        <v>0.82099999999999995</v>
      </c>
      <c r="X6" s="4">
        <f>'Chemical Data'!X566</f>
        <v>8.2000000000000003E-2</v>
      </c>
      <c r="Y6" s="4">
        <f>'Chemical Data'!Z566</f>
        <v>0.63</v>
      </c>
      <c r="Z6" s="4">
        <f>'Chemical Data'!AA566</f>
        <v>0.03</v>
      </c>
      <c r="AA6" s="4">
        <f>'Chemical Data'!AB566</f>
        <v>31.23</v>
      </c>
      <c r="AB6" s="4">
        <f>'Chemical Data'!AC566</f>
        <v>26.9</v>
      </c>
      <c r="AC6" s="4">
        <f>'Chemical Data'!AD566</f>
        <v>6.94</v>
      </c>
      <c r="AD6" s="4">
        <f>'Chemical Data'!AE566</f>
        <v>17</v>
      </c>
      <c r="AE6" s="4">
        <f>'Chemical Data'!AF566</f>
        <v>1.58</v>
      </c>
      <c r="AF6" s="4">
        <f>'Chemical Data'!AG566</f>
        <v>22</v>
      </c>
      <c r="AG6" s="4" t="str">
        <f>'Chemical Data'!AH566</f>
        <v>&lt;0.05</v>
      </c>
      <c r="AH6" s="4" t="str">
        <f>'Chemical Data'!AI566</f>
        <v>&lt;0.03</v>
      </c>
      <c r="AI6" s="4" t="str">
        <f>'Chemical Data'!AJ566</f>
        <v>&lt;0.2</v>
      </c>
      <c r="AJ6" s="5"/>
      <c r="AK6" s="4">
        <f>'Chemical Data'!AN566</f>
        <v>-14.683200000000001</v>
      </c>
      <c r="AL6" s="4">
        <f>'Chemical Data'!AO566</f>
        <v>0.22659599999999999</v>
      </c>
      <c r="AM6" s="4">
        <f>'Chemical Data'!AP566</f>
        <v>0.17388000000000001</v>
      </c>
      <c r="AN6" s="4">
        <f>'Chemical Data'!AQ566</f>
        <v>8.2799999999999992E-3</v>
      </c>
      <c r="AO6" s="4">
        <f>'Chemical Data'!AR566</f>
        <v>8.6194799999999994</v>
      </c>
    </row>
    <row r="7" spans="1:42" x14ac:dyDescent="0.3">
      <c r="A7" s="5">
        <f>'Chemical Data'!A567</f>
        <v>45098</v>
      </c>
      <c r="B7" s="5" t="str">
        <f>'Chemical Data'!B567</f>
        <v>023</v>
      </c>
      <c r="C7" s="5" t="str">
        <f>'Chemical Data'!C567</f>
        <v>Sam 4</v>
      </c>
      <c r="D7" s="5"/>
      <c r="E7" s="5" t="str">
        <f>'Chemical Data'!E567</f>
        <v>Clean trib parallel to Sample Run</v>
      </c>
      <c r="F7" s="5"/>
      <c r="G7" s="5"/>
      <c r="H7" s="5" t="str">
        <f>'Chemical Data'!H567</f>
        <v>Hedin</v>
      </c>
      <c r="I7" s="5"/>
      <c r="J7" s="4">
        <f>'Chemical Data'!J567</f>
        <v>0</v>
      </c>
      <c r="K7" s="5" t="str">
        <f>'Chemical Data'!K567</f>
        <v>M</v>
      </c>
      <c r="L7" s="2">
        <f>'Chemical Data'!L567</f>
        <v>0</v>
      </c>
      <c r="M7" s="2">
        <f>'Chemical Data'!M567</f>
        <v>0</v>
      </c>
      <c r="N7" s="4">
        <f>'Chemical Data'!N567</f>
        <v>0</v>
      </c>
      <c r="O7" s="4">
        <f>'Chemical Data'!O567</f>
        <v>0</v>
      </c>
      <c r="P7" s="2">
        <f>'Chemical Data'!P567</f>
        <v>0</v>
      </c>
      <c r="Q7" s="4">
        <f>'Chemical Data'!Q567</f>
        <v>0</v>
      </c>
      <c r="AJ7" s="5"/>
    </row>
    <row r="8" spans="1:42" x14ac:dyDescent="0.3">
      <c r="A8" s="5">
        <v>45169</v>
      </c>
      <c r="B8" s="5" t="str">
        <f>'Chemical Data'!B568</f>
        <v>021</v>
      </c>
      <c r="C8" s="5" t="str">
        <f>'Chemical Data'!C568</f>
        <v>Sam 4</v>
      </c>
      <c r="D8" s="5"/>
      <c r="E8" s="5" t="str">
        <f>'Chemical Data'!E568</f>
        <v>Clean trib parallel to Sample Run</v>
      </c>
      <c r="F8" s="5"/>
      <c r="G8" s="5"/>
      <c r="H8" s="2" t="str">
        <f>'Chemical Data'!H568</f>
        <v>Hedin</v>
      </c>
      <c r="I8" s="2"/>
      <c r="J8" s="4">
        <f>'Chemical Data'!J568</f>
        <v>31.266666666666666</v>
      </c>
      <c r="K8" s="2" t="str">
        <f>'Chemical Data'!K568</f>
        <v>M</v>
      </c>
      <c r="L8" s="2">
        <f>'Chemical Data'!L568</f>
        <v>6.63</v>
      </c>
      <c r="M8" s="2">
        <f>'Chemical Data'!M568</f>
        <v>7</v>
      </c>
      <c r="N8" s="4">
        <f>'Chemical Data'!N568</f>
        <v>321</v>
      </c>
      <c r="O8" s="4">
        <f>'Chemical Data'!O568</f>
        <v>333</v>
      </c>
      <c r="P8" s="2">
        <f>'Chemical Data'!P568</f>
        <v>16.5</v>
      </c>
      <c r="Q8" s="4">
        <f>'Chemical Data'!Q568</f>
        <v>0</v>
      </c>
      <c r="R8" s="4">
        <f>'Chemical Data'!R568</f>
        <v>61.6</v>
      </c>
      <c r="S8" s="3">
        <f>'Chemical Data'!S568</f>
        <v>-53.6</v>
      </c>
      <c r="T8" s="3">
        <f>'Chemical Data'!T568</f>
        <v>-61.426778855923402</v>
      </c>
      <c r="U8" s="4">
        <f>'Chemical Data'!U568</f>
        <v>0</v>
      </c>
      <c r="V8" s="4">
        <f>'Chemical Data'!V568</f>
        <v>0</v>
      </c>
      <c r="W8" s="2">
        <f>'Chemical Data'!W568</f>
        <v>0.1</v>
      </c>
      <c r="X8" s="2">
        <f>'Chemical Data'!X568</f>
        <v>0.05</v>
      </c>
      <c r="Y8" s="2">
        <f>'Chemical Data'!Z568</f>
        <v>0.3</v>
      </c>
      <c r="Z8" s="2">
        <f>'Chemical Data'!AA568</f>
        <v>0.04</v>
      </c>
      <c r="AA8" s="3">
        <f>'Chemical Data'!AB568</f>
        <v>77.3</v>
      </c>
      <c r="AB8" s="3">
        <f>'Chemical Data'!AC568</f>
        <v>45.7</v>
      </c>
      <c r="AC8" s="3">
        <f>'Chemical Data'!AD568</f>
        <v>10.4</v>
      </c>
      <c r="AD8" s="3">
        <f>'Chemical Data'!AE568</f>
        <v>4.03</v>
      </c>
      <c r="AE8" s="3">
        <f>'Chemical Data'!AF568</f>
        <v>1.98</v>
      </c>
      <c r="AF8" s="3">
        <f>'Chemical Data'!AG568</f>
        <v>10.1</v>
      </c>
      <c r="AG8" s="2">
        <f>'Chemical Data'!AH568</f>
        <v>0.05</v>
      </c>
      <c r="AH8" s="2">
        <f>'Chemical Data'!AI568</f>
        <v>0.03</v>
      </c>
      <c r="AI8" s="2">
        <f>'Chemical Data'!AJ568</f>
        <v>0.2</v>
      </c>
      <c r="AJ8" s="2"/>
      <c r="AK8" s="2">
        <f>'Chemical Data'!AN568</f>
        <v>-20.110720000000001</v>
      </c>
      <c r="AL8" s="2">
        <f>'Chemical Data'!AO568</f>
        <v>3.7520000000000005E-2</v>
      </c>
      <c r="AM8" s="2">
        <f>'Chemical Data'!AP568</f>
        <v>0.11255999999999999</v>
      </c>
      <c r="AN8" s="2">
        <f>'Chemical Data'!AQ568</f>
        <v>1.5007999999999999E-2</v>
      </c>
      <c r="AO8" s="2">
        <f>'Chemical Data'!AR568</f>
        <v>29.002959999999995</v>
      </c>
    </row>
    <row r="9" spans="1:42" x14ac:dyDescent="0.3">
      <c r="A9" s="5"/>
      <c r="B9" s="5"/>
      <c r="C9" s="5"/>
      <c r="D9" s="5"/>
      <c r="E9" s="5"/>
      <c r="F9" s="5"/>
      <c r="G9" s="5"/>
      <c r="H9" s="5"/>
      <c r="I9" s="5"/>
      <c r="J9" s="5"/>
      <c r="K9" s="5"/>
      <c r="AJ9" s="5"/>
    </row>
    <row r="10" spans="1:42" x14ac:dyDescent="0.3">
      <c r="A10" s="5">
        <f>'Chemical Data'!A560</f>
        <v>44964</v>
      </c>
      <c r="B10" t="str">
        <f>'Chemical Data'!B560</f>
        <v>053</v>
      </c>
      <c r="C10" t="str">
        <f>'Chemical Data'!C560</f>
        <v>Sam3</v>
      </c>
      <c r="D10">
        <f>'Chemical Data'!D560</f>
        <v>0</v>
      </c>
      <c r="E10" t="str">
        <f>'Chemical Data'!E560</f>
        <v xml:space="preserve">Sample Run upstream of Refuse pile trib </v>
      </c>
      <c r="H10" t="str">
        <f>'Chemical Data'!H560</f>
        <v>Hedin/ICCD</v>
      </c>
      <c r="J10">
        <f>'Chemical Data'!J560</f>
        <v>49</v>
      </c>
      <c r="K10" t="str">
        <f>'Chemical Data'!K560</f>
        <v>M</v>
      </c>
      <c r="L10" s="2">
        <f>'Chemical Data'!L560</f>
        <v>3.03</v>
      </c>
      <c r="M10" s="2">
        <f>'Chemical Data'!M560</f>
        <v>3.1</v>
      </c>
      <c r="N10" s="4">
        <f>'Chemical Data'!N560</f>
        <v>1577</v>
      </c>
      <c r="O10" s="4">
        <f>'Chemical Data'!O560</f>
        <v>1586</v>
      </c>
      <c r="P10" s="2">
        <f>'Chemical Data'!P560</f>
        <v>0</v>
      </c>
      <c r="Q10" s="4">
        <f>'Chemical Data'!Q560</f>
        <v>0</v>
      </c>
      <c r="R10" s="4">
        <f>'Chemical Data'!R560</f>
        <v>0</v>
      </c>
      <c r="S10" s="4">
        <f>'Chemical Data'!S560</f>
        <v>722.8</v>
      </c>
      <c r="T10" s="4">
        <f>'Chemical Data'!T560</f>
        <v>2040.1634850398495</v>
      </c>
      <c r="U10" s="4">
        <f>'Chemical Data'!U560</f>
        <v>0</v>
      </c>
      <c r="V10" s="4">
        <f>'Chemical Data'!V560</f>
        <v>0</v>
      </c>
      <c r="W10" s="4">
        <f>'Chemical Data'!W560</f>
        <v>70.87</v>
      </c>
      <c r="X10" s="4">
        <f>'Chemical Data'!X560</f>
        <v>838.02499999999998</v>
      </c>
      <c r="Y10" s="4">
        <f>'Chemical Data'!Z560</f>
        <v>87.5</v>
      </c>
      <c r="Z10" s="4">
        <f>'Chemical Data'!AA560</f>
        <v>3.8109999999999999</v>
      </c>
      <c r="AA10" s="4">
        <f>'Chemical Data'!AB560</f>
        <v>1132.8499999999999</v>
      </c>
      <c r="AB10" s="4">
        <f>'Chemical Data'!AC560</f>
        <v>131</v>
      </c>
      <c r="AC10" s="4">
        <f>'Chemical Data'!AD560</f>
        <v>18.54</v>
      </c>
      <c r="AD10" s="4">
        <f>'Chemical Data'!AE560</f>
        <v>3.55</v>
      </c>
      <c r="AE10" s="4">
        <f>'Chemical Data'!AF560</f>
        <v>2.17</v>
      </c>
      <c r="AF10" s="4">
        <f>'Chemical Data'!AG560</f>
        <v>5.0999999999999996</v>
      </c>
      <c r="AG10" s="4">
        <f>'Chemical Data'!AH560</f>
        <v>0.25800000000000001</v>
      </c>
      <c r="AH10" s="4">
        <f>'Chemical Data'!AI560</f>
        <v>0.60899999999999999</v>
      </c>
      <c r="AI10" s="4" t="str">
        <f>'Chemical Data'!AJ560</f>
        <v>&lt;0.2</v>
      </c>
      <c r="AK10" s="4">
        <f>'Chemical Data'!AN560</f>
        <v>425.00639999999999</v>
      </c>
      <c r="AL10" s="4">
        <f>'Chemical Data'!AO560</f>
        <v>41.671559999999999</v>
      </c>
      <c r="AM10" s="4">
        <f>'Chemical Data'!AP560</f>
        <v>51.45</v>
      </c>
      <c r="AN10" s="4">
        <f>'Chemical Data'!AQ560</f>
        <v>2.2408680000000003</v>
      </c>
      <c r="AO10" s="4">
        <f>'Chemical Data'!AR560</f>
        <v>666.11579999999992</v>
      </c>
    </row>
    <row r="11" spans="1:42" x14ac:dyDescent="0.3">
      <c r="A11" s="5">
        <f>'Chemical Data'!A561</f>
        <v>45022</v>
      </c>
      <c r="B11" t="str">
        <f>'Chemical Data'!B561</f>
        <v>010</v>
      </c>
      <c r="C11" t="str">
        <f>'Chemical Data'!C561</f>
        <v>Sam3</v>
      </c>
      <c r="D11">
        <f>'Chemical Data'!D561</f>
        <v>0</v>
      </c>
      <c r="E11" t="str">
        <f>'Chemical Data'!E561</f>
        <v xml:space="preserve">Sample Run upstream of Refuse pile trib </v>
      </c>
      <c r="H11" t="str">
        <f>'Chemical Data'!H561</f>
        <v>SFU</v>
      </c>
      <c r="J11">
        <f>'Chemical Data'!J561</f>
        <v>87</v>
      </c>
      <c r="K11" t="str">
        <f>'Chemical Data'!K561</f>
        <v>M</v>
      </c>
      <c r="L11" s="2">
        <f>'Chemical Data'!L561</f>
        <v>6.57</v>
      </c>
      <c r="M11" s="2">
        <f>'Chemical Data'!M561</f>
        <v>6.4</v>
      </c>
      <c r="N11" s="4">
        <f>'Chemical Data'!N561</f>
        <v>231</v>
      </c>
      <c r="O11" s="4">
        <f>'Chemical Data'!O561</f>
        <v>239</v>
      </c>
      <c r="P11" s="2">
        <f>'Chemical Data'!P561</f>
        <v>0</v>
      </c>
      <c r="Q11" s="4">
        <f>'Chemical Data'!Q561</f>
        <v>0</v>
      </c>
      <c r="R11" s="4">
        <f>'Chemical Data'!R561</f>
        <v>42</v>
      </c>
      <c r="S11" s="4">
        <f>'Chemical Data'!S561</f>
        <v>-33.4</v>
      </c>
      <c r="T11" s="4">
        <f>'Chemical Data'!T561</f>
        <v>-36.010802325980364</v>
      </c>
      <c r="U11" s="4">
        <f>'Chemical Data'!U561</f>
        <v>0</v>
      </c>
      <c r="V11" s="4">
        <f>'Chemical Data'!V561</f>
        <v>0</v>
      </c>
      <c r="W11" s="4">
        <f>'Chemical Data'!W561</f>
        <v>0.40799999999999997</v>
      </c>
      <c r="X11" s="4">
        <f>'Chemical Data'!X561</f>
        <v>0.05</v>
      </c>
      <c r="Y11" s="4">
        <f>'Chemical Data'!Z561</f>
        <v>0.85599999999999998</v>
      </c>
      <c r="Z11" s="4">
        <f>'Chemical Data'!AA561</f>
        <v>9.1999999999999998E-2</v>
      </c>
      <c r="AA11" s="4">
        <f>'Chemical Data'!AB561</f>
        <v>57.12</v>
      </c>
      <c r="AB11" s="4">
        <f>'Chemical Data'!AC561</f>
        <v>30.6</v>
      </c>
      <c r="AC11" s="4">
        <f>'Chemical Data'!AD561</f>
        <v>8.1199999999999992</v>
      </c>
      <c r="AD11" s="4">
        <f>'Chemical Data'!AE561</f>
        <v>3.51</v>
      </c>
      <c r="AE11" s="4">
        <f>'Chemical Data'!AF561</f>
        <v>1.54</v>
      </c>
      <c r="AF11" s="4">
        <f>'Chemical Data'!AG561</f>
        <v>10.199999999999999</v>
      </c>
      <c r="AG11" s="4" t="str">
        <f>'Chemical Data'!AH561</f>
        <v>&lt;0.05</v>
      </c>
      <c r="AH11" s="4" t="str">
        <f>'Chemical Data'!AI561</f>
        <v>&lt;0.03</v>
      </c>
      <c r="AI11" s="4" t="str">
        <f>'Chemical Data'!AJ561</f>
        <v>&lt;0.2</v>
      </c>
      <c r="AK11" s="4">
        <f>'Chemical Data'!AN561</f>
        <v>-34.869599999999998</v>
      </c>
      <c r="AL11" s="4">
        <f>'Chemical Data'!AO561</f>
        <v>0.42595199999999994</v>
      </c>
      <c r="AM11" s="4">
        <f>'Chemical Data'!AP561</f>
        <v>0.8936639999999999</v>
      </c>
      <c r="AN11" s="4">
        <f>'Chemical Data'!AQ561</f>
        <v>9.6047999999999994E-2</v>
      </c>
      <c r="AO11" s="4">
        <f>'Chemical Data'!AR561</f>
        <v>59.633279999999999</v>
      </c>
    </row>
    <row r="12" spans="1:42" x14ac:dyDescent="0.3">
      <c r="A12" s="5">
        <f>'Chemical Data'!A562</f>
        <v>45098</v>
      </c>
      <c r="B12" t="str">
        <f>'Chemical Data'!B562</f>
        <v>022</v>
      </c>
      <c r="C12" t="str">
        <f>'Chemical Data'!C562</f>
        <v>Sam3</v>
      </c>
      <c r="D12">
        <f>'Chemical Data'!D562</f>
        <v>0</v>
      </c>
      <c r="E12" t="str">
        <f>'Chemical Data'!E562</f>
        <v xml:space="preserve">Sample Run upstream of Refuse pile trib </v>
      </c>
      <c r="H12" t="str">
        <f>'Chemical Data'!H562</f>
        <v>Hedin</v>
      </c>
      <c r="J12" s="4">
        <f>'Chemical Data'!J562</f>
        <v>11.7</v>
      </c>
      <c r="K12" t="str">
        <f>'Chemical Data'!K562</f>
        <v>M</v>
      </c>
      <c r="L12" s="2">
        <f>'Chemical Data'!L562</f>
        <v>2.54</v>
      </c>
      <c r="M12" s="2">
        <f>'Chemical Data'!M562</f>
        <v>2.7</v>
      </c>
      <c r="N12" s="4">
        <f>'Chemical Data'!N562</f>
        <v>2913</v>
      </c>
      <c r="O12" s="4">
        <f>'Chemical Data'!O562</f>
        <v>3390</v>
      </c>
      <c r="P12" s="2">
        <f>'Chemical Data'!P562</f>
        <v>17.7</v>
      </c>
      <c r="Q12" s="4">
        <f>'Chemical Data'!Q562</f>
        <v>0</v>
      </c>
      <c r="R12" s="4">
        <f>'Chemical Data'!R562</f>
        <v>0</v>
      </c>
      <c r="S12" s="4">
        <f>'Chemical Data'!S562</f>
        <v>1813</v>
      </c>
      <c r="T12" s="4">
        <f>'Chemical Data'!T562</f>
        <v>1846.0299151563299</v>
      </c>
      <c r="U12" s="4">
        <f>'Chemical Data'!U562</f>
        <v>0</v>
      </c>
      <c r="V12" s="4">
        <f>'Chemical Data'!V562</f>
        <v>0</v>
      </c>
      <c r="W12" s="4">
        <f>'Chemical Data'!W562</f>
        <v>120.3</v>
      </c>
      <c r="X12" s="4">
        <f>'Chemical Data'!X562</f>
        <v>8.9139999999999997</v>
      </c>
      <c r="Y12" s="4">
        <f>'Chemical Data'!Z562</f>
        <v>245.6</v>
      </c>
      <c r="Z12" s="4">
        <f>'Chemical Data'!AA562</f>
        <v>11.99</v>
      </c>
      <c r="AA12" s="4">
        <f>'Chemical Data'!AB562</f>
        <v>2967.06</v>
      </c>
      <c r="AB12" s="4">
        <f>'Chemical Data'!AC562</f>
        <v>328.3</v>
      </c>
      <c r="AC12" s="4">
        <f>'Chemical Data'!AD562</f>
        <v>49.82</v>
      </c>
      <c r="AD12" s="4">
        <f>'Chemical Data'!AE562</f>
        <v>5.96</v>
      </c>
      <c r="AE12" s="4">
        <f>'Chemical Data'!AF562</f>
        <v>2.66</v>
      </c>
      <c r="AF12" s="4">
        <f>'Chemical Data'!AG562</f>
        <v>4.0999999999999996</v>
      </c>
      <c r="AG12" s="4">
        <f>'Chemical Data'!AH562</f>
        <v>0.71799999999999997</v>
      </c>
      <c r="AH12" s="4">
        <f>'Chemical Data'!AI562</f>
        <v>1.7609999999999999</v>
      </c>
      <c r="AI12" s="4">
        <f>'Chemical Data'!AJ562</f>
        <v>0.2</v>
      </c>
      <c r="AK12" s="4">
        <f>'Chemical Data'!AN562</f>
        <v>254.54519999999999</v>
      </c>
      <c r="AL12" s="4">
        <f>'Chemical Data'!AO562</f>
        <v>16.89012</v>
      </c>
      <c r="AM12" s="4">
        <f>'Chemical Data'!AP562</f>
        <v>34.482239999999997</v>
      </c>
      <c r="AN12" s="4">
        <f>'Chemical Data'!AQ562</f>
        <v>1.6833959999999999</v>
      </c>
      <c r="AO12" s="4">
        <f>'Chemical Data'!AR562</f>
        <v>416.57522399999999</v>
      </c>
    </row>
    <row r="13" spans="1:42" x14ac:dyDescent="0.3">
      <c r="A13" s="5">
        <f>'Chemical Data'!A563</f>
        <v>45169</v>
      </c>
      <c r="B13" t="str">
        <f>'Chemical Data'!B563</f>
        <v>023</v>
      </c>
      <c r="C13" t="str">
        <f>'Chemical Data'!C563</f>
        <v>Sam3</v>
      </c>
      <c r="D13">
        <f>'Chemical Data'!D563</f>
        <v>0</v>
      </c>
      <c r="E13" t="str">
        <f>'Chemical Data'!E563</f>
        <v xml:space="preserve">Sample Run upstream of Refuse pile trib </v>
      </c>
      <c r="H13" t="str">
        <f>'Chemical Data'!H563</f>
        <v>Hedin</v>
      </c>
      <c r="J13" s="4">
        <f>'Chemical Data'!J563</f>
        <v>33.549999999999997</v>
      </c>
      <c r="K13" t="str">
        <f>'Chemical Data'!K563</f>
        <v>M</v>
      </c>
      <c r="L13" s="2">
        <f>'Chemical Data'!L563</f>
        <v>2.15</v>
      </c>
      <c r="M13" s="2">
        <f>'Chemical Data'!M563</f>
        <v>2.9</v>
      </c>
      <c r="N13" s="4">
        <f>'Chemical Data'!N563</f>
        <v>2066</v>
      </c>
      <c r="O13" s="4">
        <f>'Chemical Data'!O563</f>
        <v>2050</v>
      </c>
      <c r="P13" s="2">
        <f>'Chemical Data'!P563</f>
        <v>16.2</v>
      </c>
      <c r="Q13" s="4">
        <f>'Chemical Data'!Q563</f>
        <v>0</v>
      </c>
      <c r="R13" s="4">
        <f>'Chemical Data'!R563</f>
        <v>0</v>
      </c>
      <c r="S13" s="4">
        <f>'Chemical Data'!S563</f>
        <v>932.2</v>
      </c>
      <c r="T13" s="4">
        <f>'Chemical Data'!T563</f>
        <v>1185.2909921920689</v>
      </c>
      <c r="U13" s="4">
        <f>'Chemical Data'!U563</f>
        <v>0</v>
      </c>
      <c r="V13" s="4">
        <f>'Chemical Data'!V563</f>
        <v>0</v>
      </c>
      <c r="W13" s="4">
        <f>'Chemical Data'!W563</f>
        <v>62.1</v>
      </c>
      <c r="X13" s="4">
        <f>'Chemical Data'!X563</f>
        <v>9.17</v>
      </c>
      <c r="Y13" s="4">
        <f>'Chemical Data'!Z563</f>
        <v>119</v>
      </c>
      <c r="Z13" s="4">
        <f>'Chemical Data'!AA563</f>
        <v>6.27</v>
      </c>
      <c r="AA13" s="4">
        <f>'Chemical Data'!AB563</f>
        <v>1465.83</v>
      </c>
      <c r="AB13" s="4">
        <f>'Chemical Data'!AC563</f>
        <v>179</v>
      </c>
      <c r="AC13" s="4">
        <f>'Chemical Data'!AD563</f>
        <v>25.3</v>
      </c>
      <c r="AD13" s="4">
        <f>'Chemical Data'!AE563</f>
        <v>3.85</v>
      </c>
      <c r="AE13" s="4">
        <f>'Chemical Data'!AF563</f>
        <v>2.57</v>
      </c>
      <c r="AF13" s="4">
        <f>'Chemical Data'!AG563</f>
        <v>4</v>
      </c>
      <c r="AG13" s="4">
        <f>'Chemical Data'!AH563</f>
        <v>0.33600000000000002</v>
      </c>
      <c r="AH13" s="4">
        <f>'Chemical Data'!AI563</f>
        <v>0.83499999999999996</v>
      </c>
      <c r="AI13" s="4">
        <f>'Chemical Data'!AJ563</f>
        <v>0.2</v>
      </c>
      <c r="AK13" s="4">
        <f>'Chemical Data'!AN563</f>
        <v>375.30372</v>
      </c>
      <c r="AL13" s="4">
        <f>'Chemical Data'!AO563</f>
        <v>25.001459999999998</v>
      </c>
      <c r="AM13" s="4">
        <f>'Chemical Data'!AP563</f>
        <v>47.909399999999998</v>
      </c>
      <c r="AN13" s="4">
        <f>'Chemical Data'!AQ563</f>
        <v>2.5243019999999996</v>
      </c>
      <c r="AO13" s="4">
        <f>'Chemical Data'!AR563</f>
        <v>590.14315799999997</v>
      </c>
    </row>
    <row r="15" spans="1:42" x14ac:dyDescent="0.3">
      <c r="A15" s="5">
        <f>'Chemical Data'!A554</f>
        <v>44964</v>
      </c>
      <c r="B15" t="str">
        <f>'Chemical Data'!B554</f>
        <v>052</v>
      </c>
      <c r="C15" t="str">
        <f>'Chemical Data'!C554</f>
        <v>Sam 2</v>
      </c>
      <c r="D15">
        <f>'Chemical Data'!D554</f>
        <v>0</v>
      </c>
      <c r="E15" t="str">
        <f>'Chemical Data'!E554</f>
        <v xml:space="preserve">Refuse pile trib </v>
      </c>
      <c r="H15" t="str">
        <f>'Chemical Data'!H554</f>
        <v>Hedin/ICCD</v>
      </c>
      <c r="J15">
        <f>'Chemical Data'!J554</f>
        <v>8</v>
      </c>
      <c r="K15" t="str">
        <f>'Chemical Data'!K554</f>
        <v>M</v>
      </c>
      <c r="L15" s="2">
        <f>'Chemical Data'!L554</f>
        <v>2.5099999999999998</v>
      </c>
      <c r="M15" s="2">
        <f>'Chemical Data'!M554</f>
        <v>2.6</v>
      </c>
      <c r="N15" s="4" t="str">
        <f>'Chemical Data'!N554</f>
        <v>&gt;4,000</v>
      </c>
      <c r="O15" s="4">
        <f>'Chemical Data'!O554</f>
        <v>4510</v>
      </c>
      <c r="P15" s="2">
        <f>'Chemical Data'!P554</f>
        <v>0</v>
      </c>
      <c r="Q15" s="4">
        <f>'Chemical Data'!Q554</f>
        <v>0</v>
      </c>
      <c r="R15" s="4">
        <f>'Chemical Data'!R554</f>
        <v>0</v>
      </c>
      <c r="S15" s="4">
        <f>'Chemical Data'!S554</f>
        <v>5061.6000000000004</v>
      </c>
      <c r="T15" s="4">
        <f>'Chemical Data'!T554</f>
        <v>6419.6335216256803</v>
      </c>
      <c r="U15" s="4">
        <f>'Chemical Data'!U554</f>
        <v>0</v>
      </c>
      <c r="V15" s="4">
        <f>'Chemical Data'!V554</f>
        <v>0</v>
      </c>
      <c r="W15" s="4">
        <f>'Chemical Data'!W554</f>
        <v>1546</v>
      </c>
      <c r="X15" s="4">
        <f>'Chemical Data'!X554</f>
        <v>50.848999999999997</v>
      </c>
      <c r="Y15" s="4">
        <f>'Chemical Data'!Z554</f>
        <v>387.9</v>
      </c>
      <c r="Z15" s="4">
        <f>'Chemical Data'!AA554</f>
        <v>5.6980000000000004</v>
      </c>
      <c r="AA15" s="4">
        <f>'Chemical Data'!AB554</f>
        <v>5877.81</v>
      </c>
      <c r="AB15" s="4">
        <f>'Chemical Data'!AC554</f>
        <v>158.6</v>
      </c>
      <c r="AC15" s="4">
        <f>'Chemical Data'!AD554</f>
        <v>27.99</v>
      </c>
      <c r="AD15" s="4">
        <f>'Chemical Data'!AE554</f>
        <v>3.86</v>
      </c>
      <c r="AE15" s="4">
        <f>'Chemical Data'!AF554</f>
        <v>23.71</v>
      </c>
      <c r="AF15" s="4">
        <f>'Chemical Data'!AG554</f>
        <v>4</v>
      </c>
      <c r="AG15" s="4">
        <f>'Chemical Data'!AH554</f>
        <v>0.621</v>
      </c>
      <c r="AH15" s="4">
        <f>'Chemical Data'!AI554</f>
        <v>0.92300000000000004</v>
      </c>
      <c r="AI15" s="4" t="str">
        <f>'Chemical Data'!AJ554</f>
        <v>&lt;0.2</v>
      </c>
      <c r="AK15" s="4">
        <f>'Chemical Data'!AN554</f>
        <v>485.91360000000003</v>
      </c>
      <c r="AL15" s="4">
        <f>'Chemical Data'!AO554</f>
        <v>148.416</v>
      </c>
      <c r="AM15" s="4">
        <f>'Chemical Data'!AP554</f>
        <v>37.238399999999999</v>
      </c>
      <c r="AN15" s="4">
        <f>'Chemical Data'!AQ554</f>
        <v>0.54700800000000005</v>
      </c>
      <c r="AO15" s="4">
        <f>'Chemical Data'!AR554</f>
        <v>564.26976000000002</v>
      </c>
    </row>
    <row r="16" spans="1:42" x14ac:dyDescent="0.3">
      <c r="A16" s="5">
        <f>'Chemical Data'!A555</f>
        <v>45022</v>
      </c>
      <c r="B16" t="str">
        <f>'Chemical Data'!B555</f>
        <v>009</v>
      </c>
      <c r="C16" t="str">
        <f>'Chemical Data'!C555</f>
        <v>Sam 2</v>
      </c>
      <c r="D16">
        <f>'Chemical Data'!D555</f>
        <v>0</v>
      </c>
      <c r="E16" t="str">
        <f>'Chemical Data'!E555</f>
        <v xml:space="preserve">Refuse pile trib </v>
      </c>
      <c r="H16" t="str">
        <f>'Chemical Data'!H555</f>
        <v>SFU</v>
      </c>
      <c r="J16">
        <f>'Chemical Data'!J555</f>
        <v>109</v>
      </c>
      <c r="K16" t="str">
        <f>'Chemical Data'!K555</f>
        <v>M</v>
      </c>
      <c r="L16" s="2">
        <f>'Chemical Data'!L555</f>
        <v>3.06</v>
      </c>
      <c r="M16" s="2">
        <f>'Chemical Data'!M555</f>
        <v>3</v>
      </c>
      <c r="N16" s="4">
        <f>'Chemical Data'!N555</f>
        <v>1252</v>
      </c>
      <c r="O16" s="4">
        <f>'Chemical Data'!O555</f>
        <v>1410</v>
      </c>
      <c r="P16" s="2">
        <f>'Chemical Data'!P555</f>
        <v>0</v>
      </c>
      <c r="Q16" s="4">
        <f>'Chemical Data'!Q555</f>
        <v>0</v>
      </c>
      <c r="R16" s="4">
        <f>'Chemical Data'!R555</f>
        <v>0</v>
      </c>
      <c r="S16" s="4">
        <f>'Chemical Data'!S555</f>
        <v>564.6</v>
      </c>
      <c r="T16" s="4">
        <f>'Chemical Data'!T555</f>
        <v>597.14302949780392</v>
      </c>
      <c r="U16" s="4">
        <f>'Chemical Data'!U555</f>
        <v>0</v>
      </c>
      <c r="V16" s="4">
        <f>'Chemical Data'!V555</f>
        <v>0</v>
      </c>
      <c r="W16" s="4">
        <f>'Chemical Data'!W555</f>
        <v>94.1</v>
      </c>
      <c r="X16" s="4">
        <f>'Chemical Data'!X555</f>
        <v>51.055</v>
      </c>
      <c r="Y16" s="4">
        <f>'Chemical Data'!Z555</f>
        <v>61.6</v>
      </c>
      <c r="Z16" s="4">
        <f>'Chemical Data'!AA555</f>
        <v>2.39</v>
      </c>
      <c r="AA16" s="4">
        <f>'Chemical Data'!AB555</f>
        <v>804.02</v>
      </c>
      <c r="AB16" s="4">
        <f>'Chemical Data'!AC555</f>
        <v>78.599999999999994</v>
      </c>
      <c r="AC16" s="4">
        <f>'Chemical Data'!AD555</f>
        <v>13.3</v>
      </c>
      <c r="AD16" s="4">
        <f>'Chemical Data'!AE555</f>
        <v>3.1</v>
      </c>
      <c r="AE16" s="4">
        <f>'Chemical Data'!AF555</f>
        <v>2.4900000000000002</v>
      </c>
      <c r="AF16" s="4">
        <f>'Chemical Data'!AG555</f>
        <v>5.6</v>
      </c>
      <c r="AG16" s="4">
        <f>'Chemical Data'!AH555</f>
        <v>0.16200000000000001</v>
      </c>
      <c r="AH16" s="4">
        <f>'Chemical Data'!AI555</f>
        <v>0.36</v>
      </c>
      <c r="AI16" s="4" t="str">
        <f>'Chemical Data'!AJ555</f>
        <v>&lt;0.2</v>
      </c>
      <c r="AK16" s="4">
        <f>'Chemical Data'!AN555</f>
        <v>738.49680000000001</v>
      </c>
      <c r="AL16" s="4">
        <f>'Chemical Data'!AO555</f>
        <v>123.08279999999999</v>
      </c>
      <c r="AM16" s="4">
        <f>'Chemical Data'!AP555</f>
        <v>80.572800000000015</v>
      </c>
      <c r="AN16" s="4">
        <f>'Chemical Data'!AQ555</f>
        <v>3.1261199999999998</v>
      </c>
      <c r="AO16" s="4">
        <f>'Chemical Data'!AR555</f>
        <v>1051.65816</v>
      </c>
    </row>
    <row r="17" spans="1:42" x14ac:dyDescent="0.3">
      <c r="A17" s="5">
        <f>'Chemical Data'!A556</f>
        <v>45098</v>
      </c>
      <c r="B17" t="str">
        <f>'Chemical Data'!B556</f>
        <v>021</v>
      </c>
      <c r="C17" t="str">
        <f>'Chemical Data'!C556</f>
        <v>Sam 2</v>
      </c>
      <c r="D17">
        <f>'Chemical Data'!D556</f>
        <v>0</v>
      </c>
      <c r="E17" t="str">
        <f>'Chemical Data'!E556</f>
        <v xml:space="preserve">Refuse pile trib </v>
      </c>
      <c r="H17" t="str">
        <f>'Chemical Data'!H556</f>
        <v>Hedin</v>
      </c>
      <c r="J17" s="3">
        <f>'Chemical Data'!J556</f>
        <v>0.71</v>
      </c>
      <c r="K17" t="str">
        <f>'Chemical Data'!K556</f>
        <v>M</v>
      </c>
      <c r="L17" s="2">
        <f>'Chemical Data'!L556</f>
        <v>2.39</v>
      </c>
      <c r="M17" s="2">
        <f>'Chemical Data'!M556</f>
        <v>2.6</v>
      </c>
      <c r="N17" s="4" t="str">
        <f>'Chemical Data'!N556</f>
        <v>&gt;4,000</v>
      </c>
      <c r="O17" s="4">
        <f>'Chemical Data'!O556</f>
        <v>5140</v>
      </c>
      <c r="P17" s="2">
        <f>'Chemical Data'!P556</f>
        <v>17.3</v>
      </c>
      <c r="Q17" s="4">
        <f>'Chemical Data'!Q556</f>
        <v>0</v>
      </c>
      <c r="R17" s="4">
        <f>'Chemical Data'!R556</f>
        <v>0</v>
      </c>
      <c r="S17" s="4">
        <f>'Chemical Data'!S556</f>
        <v>6208.4</v>
      </c>
      <c r="T17" s="4">
        <f>'Chemical Data'!T556</f>
        <v>6655.7397189020558</v>
      </c>
      <c r="U17" s="4">
        <f>'Chemical Data'!U556</f>
        <v>0</v>
      </c>
      <c r="V17" s="4">
        <f>'Chemical Data'!V556</f>
        <v>0</v>
      </c>
      <c r="W17" s="4">
        <f>'Chemical Data'!W556</f>
        <v>1651</v>
      </c>
      <c r="X17" s="4">
        <f>'Chemical Data'!X556</f>
        <v>690.62800000000004</v>
      </c>
      <c r="Y17" s="4">
        <f>'Chemical Data'!Z556</f>
        <v>473</v>
      </c>
      <c r="Z17" s="4">
        <f>'Chemical Data'!AA556</f>
        <v>6.6749999999999998</v>
      </c>
      <c r="AA17" s="4">
        <f>'Chemical Data'!AB556</f>
        <v>7101.27</v>
      </c>
      <c r="AB17" s="4">
        <f>'Chemical Data'!AC556</f>
        <v>163.5</v>
      </c>
      <c r="AC17" s="4">
        <f>'Chemical Data'!AD556</f>
        <v>34.659999999999997</v>
      </c>
      <c r="AD17" s="4">
        <f>'Chemical Data'!AE556</f>
        <v>3.61</v>
      </c>
      <c r="AE17" s="4">
        <f>'Chemical Data'!AF556</f>
        <v>11.39</v>
      </c>
      <c r="AF17" s="4">
        <f>'Chemical Data'!AG556</f>
        <v>6.2</v>
      </c>
      <c r="AG17" s="4">
        <f>'Chemical Data'!AH556</f>
        <v>0.67900000000000005</v>
      </c>
      <c r="AH17" s="4">
        <f>'Chemical Data'!AI556</f>
        <v>1.103</v>
      </c>
      <c r="AI17" s="4">
        <f>'Chemical Data'!AJ556</f>
        <v>0.2</v>
      </c>
      <c r="AK17" s="4">
        <f>'Chemical Data'!AN556</f>
        <v>52.895567999999997</v>
      </c>
      <c r="AL17" s="4">
        <f>'Chemical Data'!AO556</f>
        <v>14.066520000000001</v>
      </c>
      <c r="AM17" s="4">
        <f>'Chemical Data'!AP556</f>
        <v>4.02996</v>
      </c>
      <c r="AN17" s="4">
        <f>'Chemical Data'!AQ556</f>
        <v>5.6870999999999991E-2</v>
      </c>
      <c r="AO17" s="4">
        <f>'Chemical Data'!AR556</f>
        <v>60.502820400000004</v>
      </c>
    </row>
    <row r="18" spans="1:42" x14ac:dyDescent="0.3">
      <c r="A18" s="5">
        <f>'Chemical Data'!A557</f>
        <v>45169</v>
      </c>
      <c r="B18" t="str">
        <f>'Chemical Data'!B557</f>
        <v>022</v>
      </c>
      <c r="C18" t="str">
        <f>'Chemical Data'!C557</f>
        <v>Sam 2</v>
      </c>
      <c r="D18">
        <f>'Chemical Data'!D557</f>
        <v>0</v>
      </c>
      <c r="E18" t="str">
        <f>'Chemical Data'!E557</f>
        <v xml:space="preserve">Refuse pile trib </v>
      </c>
      <c r="H18" t="str">
        <f>'Chemical Data'!H557</f>
        <v>Hedin</v>
      </c>
      <c r="J18" s="3">
        <f>'Chemical Data'!J557</f>
        <v>4.8</v>
      </c>
      <c r="K18" t="str">
        <f>'Chemical Data'!K557</f>
        <v>M</v>
      </c>
      <c r="L18" s="2">
        <f>'Chemical Data'!L557</f>
        <v>1.93</v>
      </c>
      <c r="M18" s="2">
        <f>'Chemical Data'!M557</f>
        <v>2.6</v>
      </c>
      <c r="N18" s="4" t="str">
        <f>'Chemical Data'!N557</f>
        <v>&gt;4,000</v>
      </c>
      <c r="O18" s="4">
        <f>'Chemical Data'!O557</f>
        <v>4590</v>
      </c>
      <c r="P18" s="2">
        <f>'Chemical Data'!P557</f>
        <v>15.4</v>
      </c>
      <c r="Q18" s="4">
        <f>'Chemical Data'!Q557</f>
        <v>0</v>
      </c>
      <c r="R18" s="4">
        <f>'Chemical Data'!R557</f>
        <v>0</v>
      </c>
      <c r="S18" s="4">
        <f>'Chemical Data'!S557</f>
        <v>4898.3999999999996</v>
      </c>
      <c r="T18" s="4">
        <f>'Chemical Data'!T557</f>
        <v>4027.2925574697647</v>
      </c>
      <c r="U18" s="4">
        <f>'Chemical Data'!U557</f>
        <v>0</v>
      </c>
      <c r="V18" s="4">
        <f>'Chemical Data'!V557</f>
        <v>0</v>
      </c>
      <c r="W18" s="4">
        <f>'Chemical Data'!W557</f>
        <v>149.80000000000001</v>
      </c>
      <c r="X18" s="4">
        <f>'Chemical Data'!X557</f>
        <v>828.02200000000005</v>
      </c>
      <c r="Y18" s="4">
        <f>'Chemical Data'!Z557</f>
        <v>350</v>
      </c>
      <c r="Z18" s="4">
        <f>'Chemical Data'!AA557</f>
        <v>6.42</v>
      </c>
      <c r="AA18" s="4">
        <f>'Chemical Data'!AB557</f>
        <v>5461.11</v>
      </c>
      <c r="AB18" s="4">
        <f>'Chemical Data'!AC557</f>
        <v>170</v>
      </c>
      <c r="AC18" s="4">
        <f>'Chemical Data'!AD557</f>
        <v>28.7</v>
      </c>
      <c r="AD18" s="4">
        <f>'Chemical Data'!AE557</f>
        <v>4.1900000000000004</v>
      </c>
      <c r="AE18" s="4">
        <f>'Chemical Data'!AF557</f>
        <v>19.3</v>
      </c>
      <c r="AF18" s="4">
        <f>'Chemical Data'!AG557</f>
        <v>4</v>
      </c>
      <c r="AG18" s="4">
        <f>'Chemical Data'!AH557</f>
        <v>0.60399999999999998</v>
      </c>
      <c r="AH18" s="4">
        <f>'Chemical Data'!AI557</f>
        <v>0.873</v>
      </c>
      <c r="AI18" s="4">
        <f>'Chemical Data'!AJ557</f>
        <v>0.2</v>
      </c>
      <c r="AK18" s="4">
        <f>'Chemical Data'!AN557</f>
        <v>282.14783999999997</v>
      </c>
      <c r="AL18" s="4">
        <f>'Chemical Data'!AO557</f>
        <v>8.6284800000000015</v>
      </c>
      <c r="AM18" s="4">
        <f>'Chemical Data'!AP557</f>
        <v>20.16</v>
      </c>
      <c r="AN18" s="4">
        <f>'Chemical Data'!AQ557</f>
        <v>0.36979200000000001</v>
      </c>
      <c r="AO18" s="4">
        <f>'Chemical Data'!AR557</f>
        <v>314.55993599999999</v>
      </c>
    </row>
    <row r="20" spans="1:42" x14ac:dyDescent="0.3">
      <c r="A20" s="5">
        <f>'Chemical Data'!A377</f>
        <v>44964</v>
      </c>
      <c r="B20" t="str">
        <f>'Chemical Data'!B377</f>
        <v>003</v>
      </c>
      <c r="C20" t="str">
        <f>'Chemical Data'!C377</f>
        <v>KBLSAM</v>
      </c>
      <c r="D20">
        <f>'Chemical Data'!D377</f>
        <v>60151</v>
      </c>
      <c r="E20" t="str">
        <f>'Chemical Data'!E377</f>
        <v>Mouth of Sample Run</v>
      </c>
      <c r="H20" t="str">
        <f>'Chemical Data'!H377</f>
        <v>Hedin/ICCD</v>
      </c>
      <c r="J20">
        <f>'Chemical Data'!J377</f>
        <v>139</v>
      </c>
      <c r="K20" t="str">
        <f>'Chemical Data'!K377</f>
        <v>M</v>
      </c>
      <c r="L20" s="2">
        <f>'Chemical Data'!L377</f>
        <v>3.26</v>
      </c>
      <c r="M20" s="2">
        <f>'Chemical Data'!M377</f>
        <v>3.2</v>
      </c>
      <c r="N20" s="4">
        <f>'Chemical Data'!N377</f>
        <v>1072</v>
      </c>
      <c r="O20" s="4">
        <f>'Chemical Data'!O377</f>
        <v>1165</v>
      </c>
      <c r="P20" s="2">
        <f>'Chemical Data'!P377</f>
        <v>0</v>
      </c>
      <c r="Q20" s="4">
        <f>'Chemical Data'!Q377</f>
        <v>0</v>
      </c>
      <c r="R20" s="4">
        <f>'Chemical Data'!R377</f>
        <v>0</v>
      </c>
      <c r="S20" s="4">
        <f>'Chemical Data'!S377</f>
        <v>405.6</v>
      </c>
      <c r="T20" s="4">
        <f>'Chemical Data'!T377</f>
        <v>433.19761369288125</v>
      </c>
      <c r="U20" s="4">
        <f>'Chemical Data'!U377</f>
        <v>0</v>
      </c>
      <c r="V20" s="4">
        <f>'Chemical Data'!V377</f>
        <v>0</v>
      </c>
      <c r="W20" s="4">
        <f>'Chemical Data'!W377</f>
        <v>68.2</v>
      </c>
      <c r="X20" s="4">
        <f>'Chemical Data'!X377</f>
        <v>43.149000000000001</v>
      </c>
      <c r="Y20" s="4">
        <f>'Chemical Data'!Z377</f>
        <v>46.38</v>
      </c>
      <c r="Z20" s="4">
        <f>'Chemical Data'!AA377</f>
        <v>1.909</v>
      </c>
      <c r="AA20" s="4">
        <f>'Chemical Data'!AB377</f>
        <v>663.16</v>
      </c>
      <c r="AB20" s="4">
        <f>'Chemical Data'!AC377</f>
        <v>74.08</v>
      </c>
      <c r="AC20" s="4">
        <f>'Chemical Data'!AD377</f>
        <v>13.55</v>
      </c>
      <c r="AD20" s="4">
        <f>'Chemical Data'!AE377</f>
        <v>6.89</v>
      </c>
      <c r="AE20" s="4">
        <f>'Chemical Data'!AF377</f>
        <v>2.44</v>
      </c>
      <c r="AF20" s="4">
        <f>'Chemical Data'!AG377</f>
        <v>10.7</v>
      </c>
      <c r="AG20" s="4">
        <f>'Chemical Data'!AH377</f>
        <v>0.13</v>
      </c>
      <c r="AH20" s="4">
        <f>'Chemical Data'!AI377</f>
        <v>0.27200000000000002</v>
      </c>
      <c r="AI20" s="4" t="str">
        <f>'Chemical Data'!AJ377</f>
        <v>&lt;0.2</v>
      </c>
      <c r="AK20" s="4">
        <f>'Chemical Data'!AN377</f>
        <v>676.54079999999999</v>
      </c>
      <c r="AL20" s="4">
        <f>'Chemical Data'!AO377</f>
        <v>113.75760000000001</v>
      </c>
      <c r="AM20" s="4">
        <f>'Chemical Data'!AP377</f>
        <v>77.361840000000015</v>
      </c>
      <c r="AN20" s="4">
        <f>'Chemical Data'!AQ377</f>
        <v>3.184212</v>
      </c>
      <c r="AO20" s="4">
        <f>'Chemical Data'!AR377</f>
        <v>1106.1508799999999</v>
      </c>
    </row>
    <row r="21" spans="1:42" x14ac:dyDescent="0.3">
      <c r="A21" s="5">
        <f>'Chemical Data'!A378</f>
        <v>45022</v>
      </c>
      <c r="B21" t="str">
        <f>'Chemical Data'!B378</f>
        <v>008</v>
      </c>
      <c r="C21" t="str">
        <f>'Chemical Data'!C378</f>
        <v>KBLSAM</v>
      </c>
      <c r="D21">
        <f>'Chemical Data'!D378</f>
        <v>60151</v>
      </c>
      <c r="E21" t="str">
        <f>'Chemical Data'!E378</f>
        <v>Mouth of Sample Run</v>
      </c>
      <c r="H21" t="str">
        <f>'Chemical Data'!H378</f>
        <v>SFU</v>
      </c>
      <c r="J21">
        <f>'Chemical Data'!J378</f>
        <v>390</v>
      </c>
      <c r="K21" t="str">
        <f>'Chemical Data'!K378</f>
        <v>M</v>
      </c>
      <c r="L21" s="2">
        <f>'Chemical Data'!L378</f>
        <v>3.56</v>
      </c>
      <c r="M21" s="2">
        <f>'Chemical Data'!M378</f>
        <v>3.3</v>
      </c>
      <c r="N21" s="4">
        <f>'Chemical Data'!N378</f>
        <v>656</v>
      </c>
      <c r="O21" s="4">
        <f>'Chemical Data'!O378</f>
        <v>729</v>
      </c>
      <c r="P21" s="2">
        <f>'Chemical Data'!P378</f>
        <v>0</v>
      </c>
      <c r="Q21" s="4">
        <f>'Chemical Data'!Q378</f>
        <v>0</v>
      </c>
      <c r="R21" s="4">
        <f>'Chemical Data'!R378</f>
        <v>0</v>
      </c>
      <c r="S21" s="4">
        <f>'Chemical Data'!S378</f>
        <v>201.4</v>
      </c>
      <c r="T21" s="4">
        <f>'Chemical Data'!T378</f>
        <v>213.32252351669081</v>
      </c>
      <c r="U21" s="4">
        <f>'Chemical Data'!U378</f>
        <v>0</v>
      </c>
      <c r="V21" s="4">
        <f>'Chemical Data'!V378</f>
        <v>0</v>
      </c>
      <c r="W21" s="4">
        <f>'Chemical Data'!W378</f>
        <v>31.4</v>
      </c>
      <c r="X21" s="4">
        <f>'Chemical Data'!X378</f>
        <v>17.338000000000001</v>
      </c>
      <c r="Y21" s="4">
        <f>'Chemical Data'!Z378</f>
        <v>23.2</v>
      </c>
      <c r="Z21" s="4">
        <f>'Chemical Data'!AA378</f>
        <v>1.01</v>
      </c>
      <c r="AA21" s="4">
        <f>'Chemical Data'!AB378</f>
        <v>349.19</v>
      </c>
      <c r="AB21" s="4">
        <f>'Chemical Data'!AC378</f>
        <v>51.1</v>
      </c>
      <c r="AC21" s="4">
        <f>'Chemical Data'!AD378</f>
        <v>9.5299999999999994</v>
      </c>
      <c r="AD21" s="4">
        <f>'Chemical Data'!AE378</f>
        <v>5.23</v>
      </c>
      <c r="AE21" s="4">
        <f>'Chemical Data'!AF378</f>
        <v>1.86</v>
      </c>
      <c r="AF21" s="4">
        <f>'Chemical Data'!AG378</f>
        <v>9.6</v>
      </c>
      <c r="AG21" s="4">
        <f>'Chemical Data'!AH378</f>
        <v>6.7000000000000004E-2</v>
      </c>
      <c r="AH21" s="4">
        <f>'Chemical Data'!AI378</f>
        <v>0.14599999999999999</v>
      </c>
      <c r="AI21" s="4" t="str">
        <f>'Chemical Data'!AJ378</f>
        <v>&lt;0.2</v>
      </c>
      <c r="AK21" s="4">
        <f>'Chemical Data'!AN378</f>
        <v>942.55200000000002</v>
      </c>
      <c r="AL21" s="4">
        <f>'Chemical Data'!AO378</f>
        <v>146.952</v>
      </c>
      <c r="AM21" s="4">
        <f>'Chemical Data'!AP378</f>
        <v>108.57600000000001</v>
      </c>
      <c r="AN21" s="4">
        <f>'Chemical Data'!AQ378</f>
        <v>4.7267999999999999</v>
      </c>
      <c r="AO21" s="4">
        <f>'Chemical Data'!AR378</f>
        <v>1634.2092</v>
      </c>
    </row>
    <row r="22" spans="1:42" x14ac:dyDescent="0.3">
      <c r="A22" s="5">
        <f>'Chemical Data'!A379</f>
        <v>45098</v>
      </c>
      <c r="B22" t="str">
        <f>'Chemical Data'!B379</f>
        <v>020</v>
      </c>
      <c r="C22" t="str">
        <f>'Chemical Data'!C379</f>
        <v>KBLSAM</v>
      </c>
      <c r="D22">
        <f>'Chemical Data'!D379</f>
        <v>60151</v>
      </c>
      <c r="E22" t="str">
        <f>'Chemical Data'!E379</f>
        <v>Mouth of Sample Run</v>
      </c>
      <c r="H22" t="str">
        <f>'Chemical Data'!H379</f>
        <v>Hedin</v>
      </c>
      <c r="J22">
        <f>'Chemical Data'!J379</f>
        <v>21</v>
      </c>
      <c r="K22" t="str">
        <f>'Chemical Data'!K379</f>
        <v>M</v>
      </c>
      <c r="L22" s="2">
        <f>'Chemical Data'!L379</f>
        <v>2.79</v>
      </c>
      <c r="M22" s="2">
        <f>'Chemical Data'!M379</f>
        <v>2.8</v>
      </c>
      <c r="N22" s="4">
        <f>'Chemical Data'!N379</f>
        <v>1837</v>
      </c>
      <c r="O22" s="4">
        <f>'Chemical Data'!O379</f>
        <v>2100</v>
      </c>
      <c r="P22" s="2">
        <f>'Chemical Data'!P379</f>
        <v>16.399999999999999</v>
      </c>
      <c r="Q22" s="4">
        <f>'Chemical Data'!Q379</f>
        <v>0</v>
      </c>
      <c r="R22" s="4">
        <f>'Chemical Data'!R379</f>
        <v>0</v>
      </c>
      <c r="S22" s="4">
        <f>'Chemical Data'!S379</f>
        <v>893.4</v>
      </c>
      <c r="T22" s="4">
        <f>'Chemical Data'!T379</f>
        <v>337.96223486794639</v>
      </c>
      <c r="U22" s="4">
        <f>'Chemical Data'!U379</f>
        <v>0</v>
      </c>
      <c r="V22" s="4">
        <f>'Chemical Data'!V379</f>
        <v>0</v>
      </c>
      <c r="W22" s="4">
        <f>'Chemical Data'!W379</f>
        <v>68.3</v>
      </c>
      <c r="X22" s="4">
        <f>'Chemical Data'!X379</f>
        <v>6.1890000000000001</v>
      </c>
      <c r="Y22" s="4">
        <f>'Chemical Data'!Z379</f>
        <v>12.27</v>
      </c>
      <c r="Z22" s="4">
        <f>'Chemical Data'!AA379</f>
        <v>6.1070000000000002</v>
      </c>
      <c r="AA22" s="4">
        <f>'Chemical Data'!AB379</f>
        <v>1523.7</v>
      </c>
      <c r="AB22" s="4">
        <f>'Chemical Data'!AC379</f>
        <v>192.4</v>
      </c>
      <c r="AC22" s="4">
        <f>'Chemical Data'!AD379</f>
        <v>31.47</v>
      </c>
      <c r="AD22" s="4">
        <f>'Chemical Data'!AE379</f>
        <v>12.08</v>
      </c>
      <c r="AE22" s="4">
        <f>'Chemical Data'!AF379</f>
        <v>2.7</v>
      </c>
      <c r="AF22" s="4">
        <f>'Chemical Data'!AG379</f>
        <v>16.399999999999999</v>
      </c>
      <c r="AG22" s="4">
        <f>'Chemical Data'!AH379</f>
        <v>0.36599999999999999</v>
      </c>
      <c r="AH22" s="4">
        <f>'Chemical Data'!AI379</f>
        <v>0.86</v>
      </c>
      <c r="AI22" s="4">
        <f>'Chemical Data'!AJ379</f>
        <v>0.2</v>
      </c>
      <c r="AK22" s="4">
        <f>'Chemical Data'!AN379</f>
        <v>225.13679999999997</v>
      </c>
      <c r="AL22" s="4">
        <f>'Chemical Data'!AO379</f>
        <v>17.211600000000001</v>
      </c>
      <c r="AM22" s="4">
        <f>'Chemical Data'!AP379</f>
        <v>3.0920400000000003</v>
      </c>
      <c r="AN22" s="4">
        <f>'Chemical Data'!AQ379</f>
        <v>1.5389640000000002</v>
      </c>
      <c r="AO22" s="4">
        <f>'Chemical Data'!AR379</f>
        <v>383.97239999999999</v>
      </c>
    </row>
    <row r="23" spans="1:42" x14ac:dyDescent="0.3">
      <c r="A23" s="5">
        <f>'Chemical Data'!A380</f>
        <v>45169</v>
      </c>
      <c r="B23" t="str">
        <f>'Chemical Data'!B380</f>
        <v>020</v>
      </c>
      <c r="C23" t="str">
        <f>'Chemical Data'!C380</f>
        <v>KBLSAM</v>
      </c>
      <c r="D23">
        <f>'Chemical Data'!D380</f>
        <v>60151</v>
      </c>
      <c r="E23" t="str">
        <f>'Chemical Data'!E380</f>
        <v>Mouth of Sample Run</v>
      </c>
      <c r="H23" t="str">
        <f>'Chemical Data'!H380</f>
        <v>Hedin</v>
      </c>
      <c r="J23">
        <f>'Chemical Data'!J380</f>
        <v>58</v>
      </c>
      <c r="K23" t="str">
        <f>'Chemical Data'!K380</f>
        <v>M</v>
      </c>
      <c r="L23" s="2">
        <f>'Chemical Data'!L380</f>
        <v>2.64</v>
      </c>
      <c r="M23" s="2">
        <f>'Chemical Data'!M380</f>
        <v>3</v>
      </c>
      <c r="N23" s="4">
        <f>'Chemical Data'!N380</f>
        <v>1230</v>
      </c>
      <c r="O23" s="4">
        <f>'Chemical Data'!O380</f>
        <v>1238</v>
      </c>
      <c r="P23" s="2">
        <f>'Chemical Data'!P380</f>
        <v>15.6</v>
      </c>
      <c r="Q23" s="4">
        <f>'Chemical Data'!Q380</f>
        <v>0</v>
      </c>
      <c r="R23" s="4">
        <f>'Chemical Data'!R380</f>
        <v>0</v>
      </c>
      <c r="S23" s="4">
        <f>'Chemical Data'!S380</f>
        <v>411.2</v>
      </c>
      <c r="T23" s="4">
        <f>'Chemical Data'!T380</f>
        <v>519.77337263838854</v>
      </c>
      <c r="U23" s="4">
        <f>'Chemical Data'!U380</f>
        <v>0</v>
      </c>
      <c r="V23" s="4">
        <f>'Chemical Data'!V380</f>
        <v>0</v>
      </c>
      <c r="W23" s="4">
        <f>'Chemical Data'!W380</f>
        <v>59.8</v>
      </c>
      <c r="X23" s="4">
        <f>'Chemical Data'!X380</f>
        <v>19.268999999999998</v>
      </c>
      <c r="Y23" s="4">
        <f>'Chemical Data'!Z380</f>
        <v>46.4</v>
      </c>
      <c r="Z23" s="4">
        <f>'Chemical Data'!AA380</f>
        <v>2.27</v>
      </c>
      <c r="AA23" s="4">
        <f>'Chemical Data'!AB380</f>
        <v>692.66</v>
      </c>
      <c r="AB23" s="4">
        <f>'Chemical Data'!AC380</f>
        <v>94.5</v>
      </c>
      <c r="AC23" s="4">
        <f>'Chemical Data'!AD380</f>
        <v>16.3</v>
      </c>
      <c r="AD23" s="4">
        <f>'Chemical Data'!AE380</f>
        <v>6.26</v>
      </c>
      <c r="AE23" s="4">
        <f>'Chemical Data'!AF380</f>
        <v>2.9</v>
      </c>
      <c r="AF23" s="4">
        <f>'Chemical Data'!AG380</f>
        <v>9.1999999999999993</v>
      </c>
      <c r="AG23" s="4">
        <f>'Chemical Data'!AH380</f>
        <v>0.127</v>
      </c>
      <c r="AH23" s="4">
        <f>'Chemical Data'!AI380</f>
        <v>0.27100000000000002</v>
      </c>
      <c r="AI23" s="4">
        <f>'Chemical Data'!AJ380</f>
        <v>0.2</v>
      </c>
      <c r="AK23" s="4">
        <f>'Chemical Data'!AN380</f>
        <v>286.1952</v>
      </c>
      <c r="AL23" s="4">
        <f>'Chemical Data'!AO380</f>
        <v>41.620799999999996</v>
      </c>
      <c r="AM23" s="4">
        <f>'Chemical Data'!AP380</f>
        <v>32.294399999999996</v>
      </c>
      <c r="AN23" s="4">
        <f>'Chemical Data'!AQ380</f>
        <v>1.57992</v>
      </c>
      <c r="AO23" s="4">
        <f>'Chemical Data'!AR380</f>
        <v>482.09136000000001</v>
      </c>
    </row>
    <row r="25" spans="1:42" x14ac:dyDescent="0.3">
      <c r="E25" s="7" t="s">
        <v>144</v>
      </c>
    </row>
    <row r="26" spans="1:42" x14ac:dyDescent="0.3">
      <c r="D26">
        <v>0.53500000000000003</v>
      </c>
      <c r="E26" s="5" t="str">
        <f>E6</f>
        <v>Clean trib parallel to Sample Run</v>
      </c>
      <c r="J26" s="4">
        <f>AVERAGE(J6:J8)</f>
        <v>18.088888888888889</v>
      </c>
      <c r="K26" s="4"/>
      <c r="L26" s="2">
        <f t="shared" ref="L26:AI26" si="0">AVERAGE(L6:L8)</f>
        <v>4.503333333333333</v>
      </c>
      <c r="M26" s="2">
        <f t="shared" si="0"/>
        <v>4.5666666666666664</v>
      </c>
      <c r="N26" s="3">
        <f t="shared" si="0"/>
        <v>188.66666666666666</v>
      </c>
      <c r="O26" s="3">
        <f t="shared" si="0"/>
        <v>197.66666666666666</v>
      </c>
      <c r="P26" s="3">
        <f t="shared" si="0"/>
        <v>5.5</v>
      </c>
      <c r="Q26" s="3">
        <f t="shared" si="0"/>
        <v>0</v>
      </c>
      <c r="R26" s="3">
        <f t="shared" si="0"/>
        <v>62.2</v>
      </c>
      <c r="S26" s="4">
        <f t="shared" si="0"/>
        <v>-53.400000000000006</v>
      </c>
      <c r="T26" s="4">
        <f t="shared" si="0"/>
        <v>-62.00970378611531</v>
      </c>
      <c r="U26" s="4">
        <f t="shared" si="0"/>
        <v>0</v>
      </c>
      <c r="V26" s="4">
        <f t="shared" si="0"/>
        <v>0</v>
      </c>
      <c r="W26" s="4">
        <f t="shared" si="0"/>
        <v>0.46049999999999996</v>
      </c>
      <c r="X26" s="4">
        <f t="shared" si="0"/>
        <v>6.6000000000000003E-2</v>
      </c>
      <c r="Y26" s="4">
        <f t="shared" si="0"/>
        <v>0.46499999999999997</v>
      </c>
      <c r="Z26" s="4">
        <f t="shared" si="0"/>
        <v>3.5000000000000003E-2</v>
      </c>
      <c r="AA26" s="4">
        <f t="shared" si="0"/>
        <v>54.265000000000001</v>
      </c>
      <c r="AB26" s="4">
        <f t="shared" si="0"/>
        <v>36.299999999999997</v>
      </c>
      <c r="AC26" s="4">
        <f t="shared" si="0"/>
        <v>8.67</v>
      </c>
      <c r="AD26" s="4">
        <f t="shared" si="0"/>
        <v>10.515000000000001</v>
      </c>
      <c r="AE26" s="4">
        <f t="shared" si="0"/>
        <v>1.78</v>
      </c>
      <c r="AF26" s="4">
        <f t="shared" si="0"/>
        <v>16.05</v>
      </c>
      <c r="AG26" s="3">
        <f t="shared" si="0"/>
        <v>0.05</v>
      </c>
      <c r="AH26" s="3">
        <f t="shared" si="0"/>
        <v>0.03</v>
      </c>
      <c r="AI26" s="3">
        <f t="shared" si="0"/>
        <v>0.2</v>
      </c>
      <c r="AJ26" s="4"/>
      <c r="AK26" s="3">
        <f>AVERAGE(AK6:AK8)</f>
        <v>-17.39696</v>
      </c>
      <c r="AL26" s="3">
        <f>AVERAGE(AL6:AL8)</f>
        <v>0.13205800000000001</v>
      </c>
      <c r="AM26" s="3">
        <f>AVERAGE(AM6:AM8)</f>
        <v>0.14322000000000001</v>
      </c>
      <c r="AN26" s="3">
        <f>AVERAGE(AN6:AN8)</f>
        <v>1.1643999999999998E-2</v>
      </c>
      <c r="AO26" s="3">
        <f>AVERAGE(AO6:AO8)</f>
        <v>18.811219999999999</v>
      </c>
      <c r="AP26" s="3"/>
    </row>
    <row r="27" spans="1:42" x14ac:dyDescent="0.3">
      <c r="D27">
        <v>0.46400000000000002</v>
      </c>
      <c r="E27" t="str">
        <f>E13</f>
        <v xml:space="preserve">Sample Run upstream of Refuse pile trib </v>
      </c>
      <c r="J27" s="4">
        <f>AVERAGE(J10:J13)</f>
        <v>45.3125</v>
      </c>
      <c r="K27" s="3"/>
      <c r="L27" s="2">
        <f t="shared" ref="L27:AI27" si="1">AVERAGE(L10:L13)</f>
        <v>3.5725000000000002</v>
      </c>
      <c r="M27" s="2">
        <f t="shared" si="1"/>
        <v>3.7749999999999999</v>
      </c>
      <c r="N27" s="3">
        <f t="shared" si="1"/>
        <v>1696.75</v>
      </c>
      <c r="O27" s="3">
        <f t="shared" si="1"/>
        <v>1816.25</v>
      </c>
      <c r="P27" s="3">
        <f t="shared" si="1"/>
        <v>8.4749999999999996</v>
      </c>
      <c r="Q27" s="3">
        <f t="shared" si="1"/>
        <v>0</v>
      </c>
      <c r="R27" s="3">
        <f t="shared" si="1"/>
        <v>10.5</v>
      </c>
      <c r="S27" s="4">
        <f t="shared" si="1"/>
        <v>858.65000000000009</v>
      </c>
      <c r="T27" s="4">
        <f t="shared" si="1"/>
        <v>1258.868397515567</v>
      </c>
      <c r="U27" s="4">
        <f t="shared" si="1"/>
        <v>0</v>
      </c>
      <c r="V27" s="4">
        <f t="shared" si="1"/>
        <v>0</v>
      </c>
      <c r="W27" s="4">
        <f t="shared" si="1"/>
        <v>63.419499999999999</v>
      </c>
      <c r="X27" s="4">
        <f t="shared" si="1"/>
        <v>214.03974999999997</v>
      </c>
      <c r="Y27" s="4">
        <f t="shared" si="1"/>
        <v>113.239</v>
      </c>
      <c r="Z27" s="4">
        <f t="shared" si="1"/>
        <v>5.5407500000000001</v>
      </c>
      <c r="AA27" s="4">
        <f t="shared" si="1"/>
        <v>1405.7149999999999</v>
      </c>
      <c r="AB27" s="4">
        <f t="shared" si="1"/>
        <v>167.22499999999999</v>
      </c>
      <c r="AC27" s="4">
        <f t="shared" si="1"/>
        <v>25.444999999999997</v>
      </c>
      <c r="AD27" s="4">
        <f t="shared" si="1"/>
        <v>4.2175000000000002</v>
      </c>
      <c r="AE27" s="4">
        <f t="shared" si="1"/>
        <v>2.2349999999999999</v>
      </c>
      <c r="AF27" s="4">
        <f t="shared" si="1"/>
        <v>5.85</v>
      </c>
      <c r="AG27" s="3">
        <f t="shared" si="1"/>
        <v>0.43733333333333335</v>
      </c>
      <c r="AH27" s="3">
        <f t="shared" si="1"/>
        <v>1.0683333333333334</v>
      </c>
      <c r="AI27" s="3">
        <f t="shared" si="1"/>
        <v>0.2</v>
      </c>
      <c r="AJ27" s="3"/>
      <c r="AK27" s="4">
        <f>AVERAGE(AK10:AK13)</f>
        <v>254.99643</v>
      </c>
      <c r="AL27" s="4">
        <f>AVERAGE(AL10:AL13)</f>
        <v>20.997273</v>
      </c>
      <c r="AM27" s="4">
        <f>AVERAGE(AM10:AM13)</f>
        <v>33.683826000000003</v>
      </c>
      <c r="AN27" s="4">
        <f>AVERAGE(AN10:AN13)</f>
        <v>1.6361535</v>
      </c>
      <c r="AO27" s="4">
        <f>AVERAGE(AO10:AO13)</f>
        <v>433.11686550000002</v>
      </c>
      <c r="AP27" s="4"/>
    </row>
    <row r="28" spans="1:42" x14ac:dyDescent="0.3">
      <c r="D28">
        <v>0.435</v>
      </c>
      <c r="E28" t="str">
        <f>E18</f>
        <v xml:space="preserve">Refuse pile trib </v>
      </c>
      <c r="J28" s="4">
        <f>AVERAGE(J15:J18)</f>
        <v>30.627499999999998</v>
      </c>
      <c r="K28" s="3"/>
      <c r="L28" s="2">
        <f t="shared" ref="L28:AI28" si="2">AVERAGE(L15:L18)</f>
        <v>2.4725000000000001</v>
      </c>
      <c r="M28" s="2">
        <f t="shared" si="2"/>
        <v>2.6999999999999997</v>
      </c>
      <c r="N28" s="3">
        <f t="shared" si="2"/>
        <v>1252</v>
      </c>
      <c r="O28" s="3">
        <f t="shared" si="2"/>
        <v>3912.5</v>
      </c>
      <c r="P28" s="3">
        <f t="shared" si="2"/>
        <v>8.1750000000000007</v>
      </c>
      <c r="Q28" s="3">
        <f t="shared" si="2"/>
        <v>0</v>
      </c>
      <c r="R28" s="3">
        <f t="shared" si="2"/>
        <v>0</v>
      </c>
      <c r="S28" s="4">
        <f t="shared" si="2"/>
        <v>4183.25</v>
      </c>
      <c r="T28" s="4">
        <f t="shared" si="2"/>
        <v>4424.9522068738261</v>
      </c>
      <c r="U28" s="4">
        <f t="shared" si="2"/>
        <v>0</v>
      </c>
      <c r="V28" s="4">
        <f t="shared" si="2"/>
        <v>0</v>
      </c>
      <c r="W28" s="4">
        <f t="shared" si="2"/>
        <v>860.22500000000002</v>
      </c>
      <c r="X28" s="4">
        <f t="shared" si="2"/>
        <v>405.13850000000002</v>
      </c>
      <c r="Y28" s="4">
        <f t="shared" si="2"/>
        <v>318.125</v>
      </c>
      <c r="Z28" s="4">
        <f t="shared" si="2"/>
        <v>5.29575</v>
      </c>
      <c r="AA28" s="4">
        <f t="shared" si="2"/>
        <v>4811.0524999999998</v>
      </c>
      <c r="AB28" s="4">
        <f t="shared" si="2"/>
        <v>142.67500000000001</v>
      </c>
      <c r="AC28" s="4">
        <f t="shared" si="2"/>
        <v>26.162499999999998</v>
      </c>
      <c r="AD28" s="4">
        <f t="shared" si="2"/>
        <v>3.6900000000000004</v>
      </c>
      <c r="AE28" s="4">
        <f t="shared" si="2"/>
        <v>14.2225</v>
      </c>
      <c r="AF28" s="4">
        <f t="shared" si="2"/>
        <v>4.95</v>
      </c>
      <c r="AG28" s="3">
        <f t="shared" si="2"/>
        <v>0.51650000000000007</v>
      </c>
      <c r="AH28" s="3">
        <f t="shared" si="2"/>
        <v>0.81475000000000009</v>
      </c>
      <c r="AI28" s="3">
        <f t="shared" si="2"/>
        <v>0.2</v>
      </c>
      <c r="AJ28" s="3"/>
      <c r="AK28" s="4">
        <f>AVERAGE(AK15:AK18)</f>
        <v>389.86345199999994</v>
      </c>
      <c r="AL28" s="4">
        <f>AVERAGE(AL15:AL18)</f>
        <v>73.548450000000003</v>
      </c>
      <c r="AM28" s="4">
        <f>AVERAGE(AM15:AM18)</f>
        <v>35.500290000000007</v>
      </c>
      <c r="AN28" s="4">
        <f>AVERAGE(AN15:AN18)</f>
        <v>1.0249477499999999</v>
      </c>
      <c r="AO28" s="4">
        <f>AVERAGE(AO15:AO18)</f>
        <v>497.74766910000005</v>
      </c>
      <c r="AP28" s="4"/>
    </row>
    <row r="29" spans="1:42" x14ac:dyDescent="0.3">
      <c r="D29">
        <v>0.29199999999999998</v>
      </c>
      <c r="E29" t="str">
        <f>E23</f>
        <v>Mouth of Sample Run</v>
      </c>
      <c r="J29">
        <f>AVERAGE(J20:J23)</f>
        <v>152</v>
      </c>
      <c r="L29" s="2">
        <f t="shared" ref="L29:AO29" si="3">AVERAGE(L20:L23)</f>
        <v>3.0625</v>
      </c>
      <c r="M29" s="2">
        <f t="shared" si="3"/>
        <v>3.0750000000000002</v>
      </c>
      <c r="N29" s="3">
        <f t="shared" si="3"/>
        <v>1198.75</v>
      </c>
      <c r="O29" s="3">
        <f t="shared" si="3"/>
        <v>1308</v>
      </c>
      <c r="P29" s="3">
        <f t="shared" si="3"/>
        <v>8</v>
      </c>
      <c r="Q29" s="3">
        <f t="shared" si="3"/>
        <v>0</v>
      </c>
      <c r="R29" s="3">
        <f t="shared" si="3"/>
        <v>0</v>
      </c>
      <c r="S29" s="4">
        <f t="shared" si="3"/>
        <v>477.90000000000003</v>
      </c>
      <c r="T29" s="4">
        <f t="shared" si="3"/>
        <v>376.06393617897675</v>
      </c>
      <c r="U29">
        <f t="shared" si="3"/>
        <v>0</v>
      </c>
      <c r="V29">
        <f t="shared" si="3"/>
        <v>0</v>
      </c>
      <c r="W29" s="4">
        <f t="shared" si="3"/>
        <v>56.924999999999997</v>
      </c>
      <c r="X29" s="4">
        <f t="shared" si="3"/>
        <v>21.486249999999998</v>
      </c>
      <c r="Y29" s="4">
        <f t="shared" si="3"/>
        <v>32.0625</v>
      </c>
      <c r="Z29" s="4">
        <f t="shared" si="3"/>
        <v>2.8239999999999998</v>
      </c>
      <c r="AA29" s="4">
        <f t="shared" si="3"/>
        <v>807.17750000000001</v>
      </c>
      <c r="AB29" s="4">
        <f t="shared" si="3"/>
        <v>103.02000000000001</v>
      </c>
      <c r="AC29" s="4">
        <f t="shared" si="3"/>
        <v>17.712499999999999</v>
      </c>
      <c r="AD29" s="4">
        <f t="shared" si="3"/>
        <v>7.6150000000000002</v>
      </c>
      <c r="AE29" s="4">
        <f t="shared" si="3"/>
        <v>2.4750000000000001</v>
      </c>
      <c r="AF29" s="4">
        <f t="shared" si="3"/>
        <v>11.474999999999998</v>
      </c>
      <c r="AG29" s="3">
        <f t="shared" si="3"/>
        <v>0.17249999999999999</v>
      </c>
      <c r="AH29" s="3">
        <f t="shared" si="3"/>
        <v>0.38724999999999998</v>
      </c>
      <c r="AI29" s="3">
        <f t="shared" si="3"/>
        <v>0.2</v>
      </c>
      <c r="AK29" s="4">
        <f t="shared" si="3"/>
        <v>532.60619999999994</v>
      </c>
      <c r="AL29" s="4">
        <f t="shared" si="3"/>
        <v>79.885499999999993</v>
      </c>
      <c r="AM29" s="4">
        <f t="shared" si="3"/>
        <v>55.331070000000004</v>
      </c>
      <c r="AN29" s="4">
        <f t="shared" si="3"/>
        <v>2.7574739999999998</v>
      </c>
      <c r="AO29" s="4">
        <f t="shared" si="3"/>
        <v>901.60595999999998</v>
      </c>
      <c r="AP29" s="4"/>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B7E05-9242-4877-A150-99DDE0EFBDDD}">
  <dimension ref="A1:AV213"/>
  <sheetViews>
    <sheetView zoomScale="80" zoomScaleNormal="80" workbookViewId="0">
      <pane xSplit="2" ySplit="3" topLeftCell="C163" activePane="bottomRight" state="frozen"/>
      <selection pane="topRight" activeCell="C1" sqref="C1"/>
      <selection pane="bottomLeft" activeCell="A3" sqref="A3"/>
      <selection pane="bottomRight" activeCell="V184" sqref="U38:V184"/>
    </sheetView>
  </sheetViews>
  <sheetFormatPr defaultColWidth="8.88671875" defaultRowHeight="14.4" x14ac:dyDescent="0.3"/>
  <cols>
    <col min="1" max="1" width="10.44140625" style="38" customWidth="1"/>
    <col min="2" max="2" width="10.21875" style="38" bestFit="1" customWidth="1"/>
    <col min="3" max="3" width="35.21875" style="33" bestFit="1" customWidth="1"/>
    <col min="4" max="4" width="7.88671875" style="34" bestFit="1" customWidth="1"/>
    <col min="5" max="5" width="15" style="37" customWidth="1"/>
    <col min="6" max="6" width="0.109375" style="37" hidden="1" customWidth="1"/>
    <col min="7" max="7" width="10.5546875" style="37" hidden="1" customWidth="1"/>
    <col min="8" max="8" width="14.5546875" style="37" customWidth="1"/>
    <col min="9" max="9" width="6.5546875" style="36" customWidth="1"/>
    <col min="10" max="10" width="9.44140625" style="36" bestFit="1" customWidth="1"/>
    <col min="11" max="11" width="4.44140625" style="36" bestFit="1" customWidth="1"/>
    <col min="12" max="12" width="7" style="37" bestFit="1" customWidth="1"/>
    <col min="13" max="13" width="8.88671875" style="38"/>
    <col min="14" max="14" width="9.6640625" style="33" bestFit="1" customWidth="1"/>
    <col min="15" max="15" width="8.88671875" style="38"/>
    <col min="16" max="16" width="5.5546875" style="38" bestFit="1" customWidth="1"/>
    <col min="17" max="20" width="8.88671875" style="38"/>
    <col min="21" max="21" width="5.109375" style="38" bestFit="1" customWidth="1"/>
    <col min="22" max="22" width="3.5546875" style="38" bestFit="1" customWidth="1"/>
    <col min="23" max="23" width="8.88671875" style="38"/>
    <col min="24" max="24" width="8.77734375" style="38" customWidth="1"/>
    <col min="25" max="25" width="8.33203125" style="38" bestFit="1" customWidth="1"/>
    <col min="26" max="36" width="8.88671875" style="38"/>
    <col min="37" max="38" width="5.21875" style="38" bestFit="1" customWidth="1"/>
    <col min="39" max="40" width="8.88671875" style="38"/>
    <col min="41" max="41" width="9" style="38" bestFit="1" customWidth="1"/>
    <col min="42" max="42" width="10" style="38" bestFit="1" customWidth="1"/>
    <col min="43" max="43" width="9" style="38" bestFit="1" customWidth="1"/>
    <col min="44" max="16384" width="8.88671875" style="38"/>
  </cols>
  <sheetData>
    <row r="1" spans="1:48" customFormat="1" x14ac:dyDescent="0.3">
      <c r="A1" s="5"/>
      <c r="B1" s="12"/>
      <c r="I1" s="2"/>
      <c r="J1" s="1"/>
      <c r="L1" s="2"/>
      <c r="M1" s="2"/>
      <c r="N1" s="1"/>
      <c r="O1" s="1"/>
      <c r="P1" s="3"/>
      <c r="Q1" s="4"/>
      <c r="R1" s="4"/>
      <c r="S1" s="4"/>
      <c r="T1" s="4"/>
      <c r="U1" s="2"/>
      <c r="V1" s="2"/>
      <c r="W1" s="3"/>
      <c r="X1" s="3"/>
      <c r="Y1" s="3"/>
      <c r="Z1" s="3"/>
      <c r="AA1" s="3"/>
      <c r="AB1" s="4"/>
      <c r="AC1" s="3"/>
      <c r="AD1" s="3"/>
      <c r="AE1" s="3"/>
      <c r="AF1" s="3"/>
      <c r="AG1" s="3"/>
      <c r="AH1" s="2"/>
      <c r="AI1" s="2"/>
      <c r="AJ1" s="3"/>
      <c r="AK1" s="3"/>
      <c r="AL1" s="3"/>
      <c r="AM1" s="3"/>
      <c r="AN1" s="1"/>
      <c r="AO1" s="1"/>
      <c r="AP1" s="1"/>
      <c r="AQ1" s="1"/>
      <c r="AR1" s="1"/>
      <c r="AS1" s="1"/>
    </row>
    <row r="2" spans="1:48" customFormat="1" x14ac:dyDescent="0.3">
      <c r="A2" s="5" t="s">
        <v>0</v>
      </c>
      <c r="B2" s="38" t="s">
        <v>1</v>
      </c>
      <c r="C2" t="s">
        <v>208</v>
      </c>
      <c r="D2" t="s">
        <v>209</v>
      </c>
      <c r="E2" t="s">
        <v>3</v>
      </c>
      <c r="F2" t="s">
        <v>4</v>
      </c>
      <c r="G2" t="s">
        <v>5</v>
      </c>
      <c r="H2" t="s">
        <v>17</v>
      </c>
      <c r="I2" s="2" t="s">
        <v>110</v>
      </c>
      <c r="J2" s="1" t="s">
        <v>6</v>
      </c>
      <c r="K2" t="s">
        <v>91</v>
      </c>
      <c r="L2" s="2" t="s">
        <v>8</v>
      </c>
      <c r="M2" s="2" t="s">
        <v>118</v>
      </c>
      <c r="N2" s="1" t="s">
        <v>14</v>
      </c>
      <c r="O2" s="1" t="s">
        <v>119</v>
      </c>
      <c r="P2" s="3" t="s">
        <v>10</v>
      </c>
      <c r="Q2" s="4" t="s">
        <v>13</v>
      </c>
      <c r="R2" s="4" t="s">
        <v>120</v>
      </c>
      <c r="S2" s="4" t="s">
        <v>121</v>
      </c>
      <c r="T2" s="4" t="s">
        <v>122</v>
      </c>
      <c r="U2" s="2" t="s">
        <v>15</v>
      </c>
      <c r="V2" s="2" t="s">
        <v>15</v>
      </c>
      <c r="W2" s="3" t="s">
        <v>132</v>
      </c>
      <c r="X2" s="3" t="s">
        <v>133</v>
      </c>
      <c r="Y2" s="3" t="s">
        <v>368</v>
      </c>
      <c r="Z2" s="3" t="s">
        <v>124</v>
      </c>
      <c r="AA2" s="3" t="s">
        <v>125</v>
      </c>
      <c r="AB2" s="4" t="s">
        <v>126</v>
      </c>
      <c r="AC2" s="3" t="s">
        <v>127</v>
      </c>
      <c r="AD2" s="3" t="s">
        <v>128</v>
      </c>
      <c r="AE2" s="3" t="s">
        <v>129</v>
      </c>
      <c r="AF2" s="3" t="s">
        <v>130</v>
      </c>
      <c r="AG2" s="3" t="s">
        <v>131</v>
      </c>
      <c r="AH2" s="2" t="s">
        <v>134</v>
      </c>
      <c r="AI2" s="2" t="s">
        <v>135</v>
      </c>
      <c r="AJ2" s="3" t="s">
        <v>136</v>
      </c>
      <c r="AK2" s="3" t="s">
        <v>362</v>
      </c>
      <c r="AL2" s="3" t="s">
        <v>361</v>
      </c>
      <c r="AM2" s="3"/>
      <c r="AN2" s="1" t="s">
        <v>138</v>
      </c>
      <c r="AO2" s="1" t="s">
        <v>139</v>
      </c>
      <c r="AP2" s="1" t="s">
        <v>124</v>
      </c>
      <c r="AQ2" s="1" t="s">
        <v>125</v>
      </c>
      <c r="AR2" s="1" t="s">
        <v>126</v>
      </c>
      <c r="AS2" s="1" t="s">
        <v>365</v>
      </c>
      <c r="AT2" t="s">
        <v>97</v>
      </c>
      <c r="AU2" t="s">
        <v>114</v>
      </c>
      <c r="AV2" t="s">
        <v>116</v>
      </c>
    </row>
    <row r="3" spans="1:48" customFormat="1" x14ac:dyDescent="0.3">
      <c r="A3" s="12"/>
      <c r="B3" s="5"/>
      <c r="I3" s="2" t="s">
        <v>318</v>
      </c>
      <c r="J3" s="1" t="s">
        <v>7</v>
      </c>
      <c r="L3" s="2"/>
      <c r="M3" s="2"/>
      <c r="N3" s="1" t="s">
        <v>9</v>
      </c>
      <c r="O3" s="1" t="s">
        <v>9</v>
      </c>
      <c r="P3" s="3" t="s">
        <v>11</v>
      </c>
      <c r="Q3" s="4" t="s">
        <v>123</v>
      </c>
      <c r="R3" s="4" t="s">
        <v>123</v>
      </c>
      <c r="S3" s="4" t="s">
        <v>123</v>
      </c>
      <c r="T3" s="4" t="s">
        <v>123</v>
      </c>
      <c r="U3" s="2" t="s">
        <v>12</v>
      </c>
      <c r="V3" s="2" t="s">
        <v>16</v>
      </c>
      <c r="W3" s="3" t="s">
        <v>12</v>
      </c>
      <c r="X3" s="3" t="s">
        <v>12</v>
      </c>
      <c r="Y3" s="3" t="s">
        <v>12</v>
      </c>
      <c r="Z3" s="3" t="s">
        <v>12</v>
      </c>
      <c r="AA3" s="3" t="s">
        <v>12</v>
      </c>
      <c r="AB3" s="4" t="s">
        <v>12</v>
      </c>
      <c r="AC3" s="3" t="s">
        <v>12</v>
      </c>
      <c r="AD3" s="3" t="s">
        <v>12</v>
      </c>
      <c r="AE3" s="3" t="s">
        <v>12</v>
      </c>
      <c r="AF3" s="3" t="s">
        <v>12</v>
      </c>
      <c r="AG3" s="3" t="s">
        <v>12</v>
      </c>
      <c r="AH3" s="2" t="s">
        <v>12</v>
      </c>
      <c r="AI3" s="2" t="s">
        <v>12</v>
      </c>
      <c r="AJ3" s="3" t="s">
        <v>12</v>
      </c>
      <c r="AK3" s="3" t="s">
        <v>12</v>
      </c>
      <c r="AL3" s="3" t="s">
        <v>12</v>
      </c>
      <c r="AM3" s="3"/>
      <c r="AN3" s="1" t="s">
        <v>140</v>
      </c>
      <c r="AO3" s="1" t="s">
        <v>140</v>
      </c>
      <c r="AP3" s="1" t="s">
        <v>140</v>
      </c>
      <c r="AQ3" s="1" t="s">
        <v>140</v>
      </c>
      <c r="AR3" s="1" t="s">
        <v>140</v>
      </c>
      <c r="AS3" s="1" t="s">
        <v>140</v>
      </c>
      <c r="AU3" t="s">
        <v>115</v>
      </c>
      <c r="AV3" t="s">
        <v>115</v>
      </c>
    </row>
    <row r="4" spans="1:48" ht="13.2" customHeight="1" x14ac:dyDescent="0.3">
      <c r="A4" s="6"/>
      <c r="B4" s="6"/>
      <c r="C4" s="38"/>
      <c r="D4" s="38"/>
      <c r="E4" s="38"/>
      <c r="F4" s="58"/>
      <c r="G4" s="59"/>
      <c r="H4" s="38"/>
      <c r="I4" s="38"/>
      <c r="J4" s="60"/>
      <c r="M4" s="41"/>
      <c r="R4" s="40"/>
      <c r="S4" s="40"/>
      <c r="T4" s="40"/>
      <c r="W4" s="8"/>
      <c r="Z4" s="8"/>
      <c r="AA4" s="8"/>
      <c r="AB4" s="40"/>
      <c r="AN4" s="33"/>
    </row>
    <row r="5" spans="1:48" ht="14.25" customHeight="1" x14ac:dyDescent="0.3">
      <c r="A5" s="61">
        <v>36292</v>
      </c>
      <c r="B5" s="62"/>
      <c r="C5" s="38" t="s">
        <v>191</v>
      </c>
      <c r="D5" s="38"/>
      <c r="E5" s="38" t="s">
        <v>19</v>
      </c>
      <c r="F5" s="58"/>
      <c r="G5" s="59"/>
      <c r="H5" s="38" t="s">
        <v>180</v>
      </c>
      <c r="I5" s="38"/>
      <c r="J5" s="63" t="s">
        <v>172</v>
      </c>
      <c r="K5" s="36" t="s">
        <v>172</v>
      </c>
      <c r="L5" s="34" t="s">
        <v>172</v>
      </c>
      <c r="M5" s="64">
        <v>6.3</v>
      </c>
      <c r="N5" s="33" t="s">
        <v>172</v>
      </c>
      <c r="O5" s="38" t="s">
        <v>172</v>
      </c>
      <c r="P5" s="38" t="s">
        <v>172</v>
      </c>
      <c r="Q5" s="38">
        <v>15</v>
      </c>
      <c r="R5" s="65" t="s">
        <v>172</v>
      </c>
      <c r="S5" s="65" t="s">
        <v>172</v>
      </c>
      <c r="T5" s="65" t="s">
        <v>172</v>
      </c>
      <c r="U5" s="38" t="s">
        <v>172</v>
      </c>
      <c r="V5" s="38" t="s">
        <v>172</v>
      </c>
      <c r="W5" s="66">
        <v>5.18</v>
      </c>
      <c r="X5" s="38">
        <v>2.4</v>
      </c>
      <c r="Z5" s="66">
        <v>2.62</v>
      </c>
      <c r="AA5" s="66">
        <v>1.55</v>
      </c>
      <c r="AB5" s="65">
        <v>208</v>
      </c>
      <c r="AC5" s="38" t="s">
        <v>172</v>
      </c>
      <c r="AD5" s="38" t="s">
        <v>172</v>
      </c>
      <c r="AE5" s="38" t="s">
        <v>172</v>
      </c>
      <c r="AF5" s="38" t="s">
        <v>172</v>
      </c>
      <c r="AG5" s="38" t="s">
        <v>172</v>
      </c>
      <c r="AH5" s="38" t="s">
        <v>172</v>
      </c>
      <c r="AI5" s="38" t="s">
        <v>172</v>
      </c>
      <c r="AJ5" s="38" t="s">
        <v>172</v>
      </c>
      <c r="AM5" s="38" t="s">
        <v>172</v>
      </c>
      <c r="AN5" s="33" t="s">
        <v>172</v>
      </c>
      <c r="AO5" s="38" t="s">
        <v>172</v>
      </c>
      <c r="AP5" s="38" t="s">
        <v>172</v>
      </c>
      <c r="AQ5" s="38" t="s">
        <v>172</v>
      </c>
      <c r="AR5" s="38" t="s">
        <v>172</v>
      </c>
      <c r="AS5" s="1"/>
    </row>
    <row r="6" spans="1:48" ht="14.25" customHeight="1" x14ac:dyDescent="0.3">
      <c r="A6" s="61">
        <v>37042</v>
      </c>
      <c r="B6" s="6"/>
      <c r="C6" s="38" t="s">
        <v>202</v>
      </c>
      <c r="D6" s="38"/>
      <c r="E6" s="38" t="s">
        <v>19</v>
      </c>
      <c r="F6" s="58"/>
      <c r="G6" s="59"/>
      <c r="H6" s="38" t="s">
        <v>203</v>
      </c>
      <c r="I6" s="38"/>
      <c r="J6" s="63" t="s">
        <v>172</v>
      </c>
      <c r="K6" s="36" t="s">
        <v>172</v>
      </c>
      <c r="L6" s="34" t="s">
        <v>172</v>
      </c>
      <c r="M6" s="64">
        <v>6</v>
      </c>
      <c r="N6" s="33" t="s">
        <v>172</v>
      </c>
      <c r="O6" s="38" t="s">
        <v>172</v>
      </c>
      <c r="P6" s="38" t="s">
        <v>172</v>
      </c>
      <c r="Q6" s="38" t="s">
        <v>172</v>
      </c>
      <c r="R6" s="65">
        <v>16.8</v>
      </c>
      <c r="S6" s="65" t="s">
        <v>172</v>
      </c>
      <c r="T6" s="65" t="s">
        <v>172</v>
      </c>
      <c r="U6" s="38" t="s">
        <v>172</v>
      </c>
      <c r="V6" s="38" t="s">
        <v>172</v>
      </c>
      <c r="W6" s="66">
        <v>7.15</v>
      </c>
      <c r="X6" s="38" t="s">
        <v>172</v>
      </c>
      <c r="Z6" s="66">
        <v>0.99099999999999999</v>
      </c>
      <c r="AA6" s="66">
        <v>3.07</v>
      </c>
      <c r="AB6" s="65">
        <v>270.10000000000002</v>
      </c>
      <c r="AC6" s="38" t="s">
        <v>172</v>
      </c>
      <c r="AD6" s="38" t="s">
        <v>172</v>
      </c>
      <c r="AE6" s="38" t="s">
        <v>172</v>
      </c>
      <c r="AF6" s="38" t="s">
        <v>172</v>
      </c>
      <c r="AG6" s="38" t="s">
        <v>172</v>
      </c>
      <c r="AH6" s="38" t="s">
        <v>172</v>
      </c>
      <c r="AI6" s="38" t="s">
        <v>172</v>
      </c>
      <c r="AJ6" s="38" t="s">
        <v>172</v>
      </c>
      <c r="AM6" s="38" t="s">
        <v>172</v>
      </c>
      <c r="AN6" s="33" t="s">
        <v>172</v>
      </c>
      <c r="AO6" s="38" t="s">
        <v>172</v>
      </c>
      <c r="AP6" s="38" t="s">
        <v>172</v>
      </c>
      <c r="AQ6" s="38" t="s">
        <v>172</v>
      </c>
      <c r="AR6" s="38" t="s">
        <v>172</v>
      </c>
      <c r="AS6" s="1"/>
    </row>
    <row r="7" spans="1:48" ht="14.25" customHeight="1" x14ac:dyDescent="0.3">
      <c r="A7" s="61">
        <v>37071</v>
      </c>
      <c r="B7" s="62"/>
      <c r="C7" s="38" t="s">
        <v>202</v>
      </c>
      <c r="D7" s="38"/>
      <c r="E7" s="38" t="s">
        <v>19</v>
      </c>
      <c r="F7" s="58"/>
      <c r="G7" s="59"/>
      <c r="H7" s="38" t="s">
        <v>203</v>
      </c>
      <c r="I7" s="38"/>
      <c r="J7" s="67" t="s">
        <v>172</v>
      </c>
      <c r="K7" s="36" t="s">
        <v>172</v>
      </c>
      <c r="L7" s="34" t="s">
        <v>172</v>
      </c>
      <c r="M7" s="64">
        <v>5.8</v>
      </c>
      <c r="N7" s="33" t="s">
        <v>172</v>
      </c>
      <c r="O7" s="38" t="s">
        <v>172</v>
      </c>
      <c r="P7" s="38" t="s">
        <v>172</v>
      </c>
      <c r="Q7" s="38" t="s">
        <v>172</v>
      </c>
      <c r="R7" s="65">
        <v>10.8</v>
      </c>
      <c r="S7" s="65" t="s">
        <v>172</v>
      </c>
      <c r="T7" s="65" t="s">
        <v>172</v>
      </c>
      <c r="U7" s="38" t="s">
        <v>172</v>
      </c>
      <c r="V7" s="38" t="s">
        <v>172</v>
      </c>
      <c r="W7" s="66">
        <v>10.3</v>
      </c>
      <c r="X7" s="38" t="s">
        <v>172</v>
      </c>
      <c r="Z7" s="66">
        <v>1.1599999999999999</v>
      </c>
      <c r="AA7" s="66">
        <v>4.03</v>
      </c>
      <c r="AB7" s="65">
        <v>307.7</v>
      </c>
      <c r="AC7" s="38" t="s">
        <v>172</v>
      </c>
      <c r="AD7" s="38" t="s">
        <v>172</v>
      </c>
      <c r="AE7" s="38" t="s">
        <v>172</v>
      </c>
      <c r="AF7" s="38" t="s">
        <v>172</v>
      </c>
      <c r="AG7" s="38" t="s">
        <v>172</v>
      </c>
      <c r="AH7" s="38" t="s">
        <v>172</v>
      </c>
      <c r="AI7" s="38" t="s">
        <v>172</v>
      </c>
      <c r="AJ7" s="38" t="s">
        <v>172</v>
      </c>
      <c r="AM7" s="38" t="s">
        <v>172</v>
      </c>
      <c r="AN7" s="33" t="s">
        <v>172</v>
      </c>
      <c r="AO7" s="36" t="s">
        <v>172</v>
      </c>
      <c r="AP7" s="38" t="s">
        <v>172</v>
      </c>
      <c r="AQ7" s="33" t="s">
        <v>172</v>
      </c>
      <c r="AR7" s="33" t="s">
        <v>172</v>
      </c>
      <c r="AS7" s="1"/>
    </row>
    <row r="8" spans="1:48" ht="14.25" customHeight="1" x14ac:dyDescent="0.3">
      <c r="A8" s="61">
        <v>37371</v>
      </c>
      <c r="C8" s="38" t="s">
        <v>191</v>
      </c>
      <c r="D8" s="38"/>
      <c r="E8" s="38" t="s">
        <v>19</v>
      </c>
      <c r="F8" s="58"/>
      <c r="G8" s="59"/>
      <c r="H8" s="38" t="s">
        <v>180</v>
      </c>
      <c r="I8" s="38"/>
      <c r="J8" s="67" t="s">
        <v>172</v>
      </c>
      <c r="K8" s="36" t="s">
        <v>172</v>
      </c>
      <c r="L8" s="34" t="s">
        <v>172</v>
      </c>
      <c r="M8" s="64">
        <v>6</v>
      </c>
      <c r="N8" s="33" t="s">
        <v>172</v>
      </c>
      <c r="O8" s="38" t="s">
        <v>172</v>
      </c>
      <c r="P8" s="38" t="s">
        <v>172</v>
      </c>
      <c r="Q8" s="38">
        <v>8.6</v>
      </c>
      <c r="R8" s="65" t="s">
        <v>172</v>
      </c>
      <c r="S8" s="65" t="s">
        <v>172</v>
      </c>
      <c r="T8" s="65" t="s">
        <v>172</v>
      </c>
      <c r="U8" s="38" t="s">
        <v>172</v>
      </c>
      <c r="V8" s="38" t="s">
        <v>172</v>
      </c>
      <c r="W8" s="66">
        <v>4.55</v>
      </c>
      <c r="X8" s="38">
        <v>4.1500000000000004</v>
      </c>
      <c r="Z8" s="66">
        <v>2.09</v>
      </c>
      <c r="AA8" s="66">
        <v>2.69</v>
      </c>
      <c r="AB8" s="65">
        <v>183</v>
      </c>
      <c r="AC8" s="38" t="s">
        <v>172</v>
      </c>
      <c r="AD8" s="38" t="s">
        <v>172</v>
      </c>
      <c r="AE8" s="38" t="s">
        <v>172</v>
      </c>
      <c r="AF8" s="38" t="s">
        <v>172</v>
      </c>
      <c r="AG8" s="38" t="s">
        <v>172</v>
      </c>
      <c r="AH8" s="38" t="s">
        <v>172</v>
      </c>
      <c r="AI8" s="38" t="s">
        <v>172</v>
      </c>
      <c r="AJ8" s="38" t="s">
        <v>172</v>
      </c>
      <c r="AM8" s="38" t="s">
        <v>172</v>
      </c>
      <c r="AN8" s="33" t="s">
        <v>172</v>
      </c>
      <c r="AO8" s="36" t="s">
        <v>172</v>
      </c>
      <c r="AP8" s="38" t="s">
        <v>172</v>
      </c>
      <c r="AQ8" s="33" t="s">
        <v>172</v>
      </c>
      <c r="AR8" s="33" t="s">
        <v>172</v>
      </c>
      <c r="AS8" s="1"/>
    </row>
    <row r="9" spans="1:48" ht="14.25" customHeight="1" x14ac:dyDescent="0.3">
      <c r="A9" s="61">
        <v>37426</v>
      </c>
      <c r="B9" s="62"/>
      <c r="C9" s="38" t="s">
        <v>202</v>
      </c>
      <c r="D9" s="38"/>
      <c r="E9" s="38"/>
      <c r="F9" s="58"/>
      <c r="G9" s="59"/>
      <c r="H9" s="38" t="s">
        <v>203</v>
      </c>
      <c r="I9" s="38"/>
      <c r="J9" s="67">
        <v>6849</v>
      </c>
      <c r="K9" s="36" t="s">
        <v>172</v>
      </c>
      <c r="L9" s="34" t="s">
        <v>172</v>
      </c>
      <c r="M9" s="64">
        <v>5.8</v>
      </c>
      <c r="N9" s="33" t="s">
        <v>172</v>
      </c>
      <c r="O9" s="38" t="s">
        <v>172</v>
      </c>
      <c r="P9" s="38" t="s">
        <v>172</v>
      </c>
      <c r="Q9" s="38" t="s">
        <v>172</v>
      </c>
      <c r="R9" s="65">
        <v>11.8</v>
      </c>
      <c r="S9" s="65" t="s">
        <v>172</v>
      </c>
      <c r="T9" s="65" t="s">
        <v>172</v>
      </c>
      <c r="U9" s="38" t="s">
        <v>172</v>
      </c>
      <c r="V9" s="38" t="s">
        <v>172</v>
      </c>
      <c r="W9" s="66">
        <v>2.91</v>
      </c>
      <c r="X9" s="38" t="s">
        <v>172</v>
      </c>
      <c r="Z9" s="66">
        <v>2.77</v>
      </c>
      <c r="AA9" s="66">
        <v>2.36</v>
      </c>
      <c r="AB9" s="65">
        <v>144.4</v>
      </c>
      <c r="AC9" s="38" t="s">
        <v>172</v>
      </c>
      <c r="AD9" s="38" t="s">
        <v>172</v>
      </c>
      <c r="AE9" s="38" t="s">
        <v>172</v>
      </c>
      <c r="AF9" s="38" t="s">
        <v>172</v>
      </c>
      <c r="AG9" s="38" t="s">
        <v>172</v>
      </c>
      <c r="AH9" s="38" t="s">
        <v>172</v>
      </c>
      <c r="AI9" s="38" t="s">
        <v>172</v>
      </c>
      <c r="AJ9" s="38" t="s">
        <v>172</v>
      </c>
      <c r="AM9" s="38" t="s">
        <v>172</v>
      </c>
      <c r="AN9" s="33" t="s">
        <v>172</v>
      </c>
      <c r="AO9" s="36" t="s">
        <v>172</v>
      </c>
      <c r="AP9" s="38" t="s">
        <v>172</v>
      </c>
      <c r="AQ9" s="33" t="s">
        <v>172</v>
      </c>
      <c r="AR9" s="33" t="s">
        <v>172</v>
      </c>
      <c r="AS9" s="1">
        <f t="shared" ref="AS9:AS66" si="0">0.012*J9*R9</f>
        <v>969.81840000000011</v>
      </c>
    </row>
    <row r="10" spans="1:48" ht="14.25" customHeight="1" x14ac:dyDescent="0.3">
      <c r="A10" s="61">
        <v>37457</v>
      </c>
      <c r="C10" s="38" t="s">
        <v>191</v>
      </c>
      <c r="D10" s="38"/>
      <c r="E10" s="38" t="s">
        <v>19</v>
      </c>
      <c r="F10" s="58"/>
      <c r="G10" s="59"/>
      <c r="H10" s="38" t="s">
        <v>180</v>
      </c>
      <c r="I10" s="38"/>
      <c r="J10" s="67" t="s">
        <v>172</v>
      </c>
      <c r="K10" s="36" t="s">
        <v>172</v>
      </c>
      <c r="L10" s="34" t="s">
        <v>172</v>
      </c>
      <c r="M10" s="64">
        <v>5.9</v>
      </c>
      <c r="N10" s="33" t="s">
        <v>172</v>
      </c>
      <c r="O10" s="38" t="s">
        <v>172</v>
      </c>
      <c r="P10" s="38" t="s">
        <v>172</v>
      </c>
      <c r="Q10" s="38">
        <v>3.6</v>
      </c>
      <c r="R10" s="65" t="s">
        <v>172</v>
      </c>
      <c r="S10" s="65" t="s">
        <v>172</v>
      </c>
      <c r="T10" s="65" t="s">
        <v>172</v>
      </c>
      <c r="U10" s="38" t="s">
        <v>172</v>
      </c>
      <c r="V10" s="38" t="s">
        <v>172</v>
      </c>
      <c r="W10" s="66">
        <v>9.09</v>
      </c>
      <c r="X10" s="38">
        <v>7.08</v>
      </c>
      <c r="Z10" s="66">
        <v>4.63</v>
      </c>
      <c r="AA10" s="66">
        <v>1.55</v>
      </c>
      <c r="AB10" s="65">
        <v>379</v>
      </c>
      <c r="AC10" s="38" t="s">
        <v>172</v>
      </c>
      <c r="AD10" s="38" t="s">
        <v>172</v>
      </c>
      <c r="AE10" s="38" t="s">
        <v>172</v>
      </c>
      <c r="AF10" s="38" t="s">
        <v>172</v>
      </c>
      <c r="AG10" s="38" t="s">
        <v>172</v>
      </c>
      <c r="AH10" s="38" t="s">
        <v>172</v>
      </c>
      <c r="AI10" s="38" t="s">
        <v>172</v>
      </c>
      <c r="AJ10" s="38" t="s">
        <v>172</v>
      </c>
      <c r="AM10" s="38" t="s">
        <v>172</v>
      </c>
      <c r="AN10" s="33" t="s">
        <v>172</v>
      </c>
      <c r="AO10" s="36" t="s">
        <v>172</v>
      </c>
      <c r="AP10" s="38" t="s">
        <v>172</v>
      </c>
      <c r="AQ10" s="33" t="s">
        <v>172</v>
      </c>
      <c r="AR10" s="33" t="s">
        <v>172</v>
      </c>
      <c r="AS10" s="1"/>
    </row>
    <row r="11" spans="1:48" ht="14.25" customHeight="1" x14ac:dyDescent="0.3">
      <c r="A11" s="61">
        <v>37459</v>
      </c>
      <c r="B11" s="68"/>
      <c r="C11" s="38" t="s">
        <v>202</v>
      </c>
      <c r="D11" s="38"/>
      <c r="E11" s="38"/>
      <c r="F11" s="58"/>
      <c r="G11" s="59"/>
      <c r="H11" s="38" t="s">
        <v>203</v>
      </c>
      <c r="I11" s="38"/>
      <c r="J11" s="67">
        <v>1288</v>
      </c>
      <c r="K11" s="36" t="s">
        <v>172</v>
      </c>
      <c r="L11" s="34" t="s">
        <v>172</v>
      </c>
      <c r="M11" s="64">
        <v>5.7</v>
      </c>
      <c r="N11" s="33" t="s">
        <v>172</v>
      </c>
      <c r="O11" s="38" t="s">
        <v>172</v>
      </c>
      <c r="P11" s="38" t="s">
        <v>172</v>
      </c>
      <c r="Q11" s="38" t="s">
        <v>172</v>
      </c>
      <c r="R11" s="65">
        <v>8.6</v>
      </c>
      <c r="S11" s="65" t="s">
        <v>172</v>
      </c>
      <c r="T11" s="65" t="s">
        <v>172</v>
      </c>
      <c r="U11" s="38" t="s">
        <v>172</v>
      </c>
      <c r="V11" s="38" t="s">
        <v>172</v>
      </c>
      <c r="W11" s="66">
        <v>8.98</v>
      </c>
      <c r="X11" s="38" t="s">
        <v>172</v>
      </c>
      <c r="Z11" s="66">
        <v>1.48</v>
      </c>
      <c r="AA11" s="66">
        <v>4.53</v>
      </c>
      <c r="AB11" s="65">
        <v>460</v>
      </c>
      <c r="AC11" s="38" t="s">
        <v>172</v>
      </c>
      <c r="AD11" s="38" t="s">
        <v>172</v>
      </c>
      <c r="AE11" s="38" t="s">
        <v>172</v>
      </c>
      <c r="AF11" s="38" t="s">
        <v>172</v>
      </c>
      <c r="AG11" s="38" t="s">
        <v>172</v>
      </c>
      <c r="AH11" s="38" t="s">
        <v>172</v>
      </c>
      <c r="AI11" s="38" t="s">
        <v>172</v>
      </c>
      <c r="AJ11" s="38" t="s">
        <v>172</v>
      </c>
      <c r="AM11" s="38" t="s">
        <v>172</v>
      </c>
      <c r="AN11" s="33" t="s">
        <v>172</v>
      </c>
      <c r="AO11" s="36" t="s">
        <v>172</v>
      </c>
      <c r="AP11" s="38" t="s">
        <v>172</v>
      </c>
      <c r="AQ11" s="33" t="s">
        <v>172</v>
      </c>
      <c r="AR11" s="33" t="s">
        <v>172</v>
      </c>
      <c r="AS11" s="1">
        <f t="shared" si="0"/>
        <v>132.92159999999998</v>
      </c>
    </row>
    <row r="12" spans="1:48" ht="14.25" customHeight="1" x14ac:dyDescent="0.3">
      <c r="A12" s="61">
        <v>37565</v>
      </c>
      <c r="B12" s="68"/>
      <c r="C12" s="38" t="s">
        <v>191</v>
      </c>
      <c r="D12" s="38"/>
      <c r="E12" s="38" t="s">
        <v>19</v>
      </c>
      <c r="F12" s="58"/>
      <c r="G12" s="59"/>
      <c r="H12" s="38" t="s">
        <v>180</v>
      </c>
      <c r="I12" s="38"/>
      <c r="J12" s="67" t="s">
        <v>172</v>
      </c>
      <c r="K12" s="36" t="s">
        <v>172</v>
      </c>
      <c r="L12" s="34" t="s">
        <v>172</v>
      </c>
      <c r="M12" s="64">
        <v>6.1</v>
      </c>
      <c r="N12" s="33" t="s">
        <v>172</v>
      </c>
      <c r="O12" s="38" t="s">
        <v>172</v>
      </c>
      <c r="P12" s="38" t="s">
        <v>172</v>
      </c>
      <c r="Q12" s="38">
        <v>12.4</v>
      </c>
      <c r="R12" s="65" t="s">
        <v>172</v>
      </c>
      <c r="S12" s="65" t="s">
        <v>172</v>
      </c>
      <c r="T12" s="65" t="s">
        <v>172</v>
      </c>
      <c r="U12" s="38" t="s">
        <v>172</v>
      </c>
      <c r="V12" s="38" t="s">
        <v>172</v>
      </c>
      <c r="W12" s="66">
        <v>10.9</v>
      </c>
      <c r="X12" s="38">
        <v>6.24</v>
      </c>
      <c r="Z12" s="66">
        <v>3</v>
      </c>
      <c r="AA12" s="66">
        <v>1.1200000000000001</v>
      </c>
      <c r="AB12" s="65">
        <v>190.6</v>
      </c>
      <c r="AC12" s="38" t="s">
        <v>172</v>
      </c>
      <c r="AD12" s="38" t="s">
        <v>172</v>
      </c>
      <c r="AE12" s="38" t="s">
        <v>172</v>
      </c>
      <c r="AF12" s="38" t="s">
        <v>172</v>
      </c>
      <c r="AG12" s="38" t="s">
        <v>172</v>
      </c>
      <c r="AH12" s="38" t="s">
        <v>172</v>
      </c>
      <c r="AI12" s="38" t="s">
        <v>172</v>
      </c>
      <c r="AJ12" s="38" t="s">
        <v>172</v>
      </c>
      <c r="AM12" s="38" t="s">
        <v>172</v>
      </c>
      <c r="AN12" s="33" t="s">
        <v>172</v>
      </c>
      <c r="AO12" s="36" t="s">
        <v>172</v>
      </c>
      <c r="AP12" s="38" t="s">
        <v>172</v>
      </c>
      <c r="AQ12" s="33" t="s">
        <v>172</v>
      </c>
      <c r="AR12" s="33" t="s">
        <v>172</v>
      </c>
      <c r="AS12" s="1"/>
    </row>
    <row r="13" spans="1:48" ht="14.25" customHeight="1" x14ac:dyDescent="0.3">
      <c r="A13" s="61">
        <v>37651</v>
      </c>
      <c r="B13" s="68"/>
      <c r="C13" s="38" t="s">
        <v>191</v>
      </c>
      <c r="D13" s="38"/>
      <c r="E13" s="38" t="s">
        <v>19</v>
      </c>
      <c r="F13" s="58"/>
      <c r="G13" s="59"/>
      <c r="H13" s="38" t="s">
        <v>180</v>
      </c>
      <c r="I13" s="38"/>
      <c r="J13" s="67" t="s">
        <v>172</v>
      </c>
      <c r="K13" s="36" t="s">
        <v>172</v>
      </c>
      <c r="L13" s="34" t="s">
        <v>172</v>
      </c>
      <c r="M13" s="64">
        <v>6.4</v>
      </c>
      <c r="N13" s="33" t="s">
        <v>172</v>
      </c>
      <c r="O13" s="38" t="s">
        <v>172</v>
      </c>
      <c r="P13" s="38" t="s">
        <v>172</v>
      </c>
      <c r="Q13" s="38">
        <v>9.4</v>
      </c>
      <c r="R13" s="65" t="s">
        <v>172</v>
      </c>
      <c r="S13" s="65" t="s">
        <v>172</v>
      </c>
      <c r="T13" s="65" t="s">
        <v>172</v>
      </c>
      <c r="U13" s="38" t="s">
        <v>172</v>
      </c>
      <c r="V13" s="38" t="s">
        <v>172</v>
      </c>
      <c r="W13" s="66">
        <v>11.3</v>
      </c>
      <c r="X13" s="38">
        <v>8.43</v>
      </c>
      <c r="Z13" s="66">
        <v>2.36</v>
      </c>
      <c r="AA13" s="66">
        <v>3.36</v>
      </c>
      <c r="AB13" s="65">
        <v>299.3</v>
      </c>
      <c r="AC13" s="38" t="s">
        <v>172</v>
      </c>
      <c r="AD13" s="38" t="s">
        <v>172</v>
      </c>
      <c r="AE13" s="38" t="s">
        <v>172</v>
      </c>
      <c r="AF13" s="38" t="s">
        <v>172</v>
      </c>
      <c r="AG13" s="38" t="s">
        <v>172</v>
      </c>
      <c r="AH13" s="38" t="s">
        <v>172</v>
      </c>
      <c r="AI13" s="38" t="s">
        <v>172</v>
      </c>
      <c r="AJ13" s="38" t="s">
        <v>172</v>
      </c>
      <c r="AM13" s="38" t="s">
        <v>172</v>
      </c>
      <c r="AN13" s="33" t="s">
        <v>172</v>
      </c>
      <c r="AO13" s="36" t="s">
        <v>172</v>
      </c>
      <c r="AP13" s="38" t="s">
        <v>172</v>
      </c>
      <c r="AQ13" s="33" t="s">
        <v>172</v>
      </c>
      <c r="AR13" s="33" t="s">
        <v>172</v>
      </c>
      <c r="AS13" s="1"/>
    </row>
    <row r="14" spans="1:48" ht="14.25" customHeight="1" x14ac:dyDescent="0.3">
      <c r="A14" s="61">
        <v>37763</v>
      </c>
      <c r="B14" s="68"/>
      <c r="C14" s="38" t="s">
        <v>202</v>
      </c>
      <c r="D14" s="38"/>
      <c r="E14" s="38"/>
      <c r="F14" s="58"/>
      <c r="G14" s="59"/>
      <c r="H14" s="38" t="s">
        <v>203</v>
      </c>
      <c r="I14" s="38"/>
      <c r="J14" s="67">
        <v>5853</v>
      </c>
      <c r="K14" s="36" t="s">
        <v>172</v>
      </c>
      <c r="L14" s="34" t="s">
        <v>172</v>
      </c>
      <c r="M14" s="64">
        <v>6.5</v>
      </c>
      <c r="N14" s="33" t="s">
        <v>172</v>
      </c>
      <c r="O14" s="38" t="s">
        <v>172</v>
      </c>
      <c r="P14" s="38" t="s">
        <v>172</v>
      </c>
      <c r="Q14" s="38" t="s">
        <v>172</v>
      </c>
      <c r="R14" s="65">
        <v>21.2</v>
      </c>
      <c r="S14" s="65" t="s">
        <v>172</v>
      </c>
      <c r="T14" s="65" t="s">
        <v>172</v>
      </c>
      <c r="U14" s="38" t="s">
        <v>172</v>
      </c>
      <c r="V14" s="38" t="s">
        <v>172</v>
      </c>
      <c r="W14" s="66">
        <v>2.82</v>
      </c>
      <c r="X14" s="38" t="s">
        <v>172</v>
      </c>
      <c r="Z14" s="66">
        <v>0.82199999999999995</v>
      </c>
      <c r="AA14" s="66">
        <v>1.35</v>
      </c>
      <c r="AB14" s="65">
        <v>92.7</v>
      </c>
      <c r="AC14" s="38" t="s">
        <v>172</v>
      </c>
      <c r="AD14" s="38" t="s">
        <v>172</v>
      </c>
      <c r="AE14" s="38" t="s">
        <v>172</v>
      </c>
      <c r="AF14" s="38" t="s">
        <v>172</v>
      </c>
      <c r="AG14" s="38" t="s">
        <v>172</v>
      </c>
      <c r="AH14" s="38" t="s">
        <v>172</v>
      </c>
      <c r="AI14" s="38" t="s">
        <v>172</v>
      </c>
      <c r="AJ14" s="38" t="s">
        <v>172</v>
      </c>
      <c r="AM14" s="38" t="s">
        <v>172</v>
      </c>
      <c r="AN14" s="33" t="s">
        <v>172</v>
      </c>
      <c r="AO14" s="36" t="s">
        <v>172</v>
      </c>
      <c r="AP14" s="38" t="s">
        <v>172</v>
      </c>
      <c r="AQ14" s="33" t="s">
        <v>172</v>
      </c>
      <c r="AR14" s="33" t="s">
        <v>172</v>
      </c>
      <c r="AS14" s="1">
        <f t="shared" si="0"/>
        <v>1489.0032000000001</v>
      </c>
    </row>
    <row r="15" spans="1:48" ht="14.25" customHeight="1" x14ac:dyDescent="0.3">
      <c r="A15" s="61">
        <v>37792</v>
      </c>
      <c r="B15" s="68"/>
      <c r="C15" s="38" t="s">
        <v>202</v>
      </c>
      <c r="D15" s="38"/>
      <c r="E15" s="38"/>
      <c r="F15" s="58"/>
      <c r="G15" s="59"/>
      <c r="H15" s="38" t="s">
        <v>203</v>
      </c>
      <c r="I15" s="38"/>
      <c r="J15" s="67">
        <v>4342</v>
      </c>
      <c r="K15" s="36" t="s">
        <v>172</v>
      </c>
      <c r="L15" s="34" t="s">
        <v>172</v>
      </c>
      <c r="M15" s="64">
        <v>6.8</v>
      </c>
      <c r="N15" s="33" t="s">
        <v>172</v>
      </c>
      <c r="O15" s="38" t="s">
        <v>172</v>
      </c>
      <c r="P15" s="38" t="s">
        <v>172</v>
      </c>
      <c r="Q15" s="38" t="s">
        <v>172</v>
      </c>
      <c r="R15" s="65">
        <v>18.2</v>
      </c>
      <c r="S15" s="65" t="s">
        <v>172</v>
      </c>
      <c r="T15" s="65" t="s">
        <v>172</v>
      </c>
      <c r="U15" s="38" t="s">
        <v>172</v>
      </c>
      <c r="V15" s="38" t="s">
        <v>172</v>
      </c>
      <c r="W15" s="66">
        <v>3.58</v>
      </c>
      <c r="X15" s="38" t="s">
        <v>172</v>
      </c>
      <c r="Z15" s="66">
        <v>1.03</v>
      </c>
      <c r="AA15" s="66">
        <v>1.89</v>
      </c>
      <c r="AB15" s="65">
        <v>162.19999999999999</v>
      </c>
      <c r="AC15" s="38" t="s">
        <v>172</v>
      </c>
      <c r="AD15" s="38" t="s">
        <v>172</v>
      </c>
      <c r="AE15" s="38" t="s">
        <v>172</v>
      </c>
      <c r="AF15" s="38" t="s">
        <v>172</v>
      </c>
      <c r="AG15" s="38" t="s">
        <v>172</v>
      </c>
      <c r="AH15" s="38" t="s">
        <v>172</v>
      </c>
      <c r="AI15" s="38" t="s">
        <v>172</v>
      </c>
      <c r="AJ15" s="38" t="s">
        <v>172</v>
      </c>
      <c r="AM15" s="38" t="s">
        <v>172</v>
      </c>
      <c r="AN15" s="33" t="s">
        <v>172</v>
      </c>
      <c r="AO15" s="36" t="s">
        <v>172</v>
      </c>
      <c r="AP15" s="38" t="s">
        <v>172</v>
      </c>
      <c r="AQ15" s="33" t="s">
        <v>172</v>
      </c>
      <c r="AR15" s="33" t="s">
        <v>172</v>
      </c>
      <c r="AS15" s="1">
        <f t="shared" si="0"/>
        <v>948.29279999999994</v>
      </c>
    </row>
    <row r="16" spans="1:48" ht="14.25" customHeight="1" x14ac:dyDescent="0.3">
      <c r="A16" s="61">
        <v>37802</v>
      </c>
      <c r="B16" s="68"/>
      <c r="C16" s="38" t="s">
        <v>191</v>
      </c>
      <c r="D16" s="38"/>
      <c r="E16" s="38" t="s">
        <v>19</v>
      </c>
      <c r="F16" s="58"/>
      <c r="G16" s="59"/>
      <c r="H16" s="38" t="s">
        <v>192</v>
      </c>
      <c r="I16" s="38"/>
      <c r="J16" s="69">
        <v>1939.68</v>
      </c>
      <c r="K16" s="36" t="s">
        <v>172</v>
      </c>
      <c r="L16" s="34" t="s">
        <v>172</v>
      </c>
      <c r="M16" s="70">
        <v>4.8600000000000003</v>
      </c>
      <c r="N16" s="33" t="s">
        <v>172</v>
      </c>
      <c r="O16" s="38" t="s">
        <v>172</v>
      </c>
      <c r="P16" s="38" t="s">
        <v>172</v>
      </c>
      <c r="Q16" s="38">
        <v>1.2</v>
      </c>
      <c r="R16" s="37" t="s">
        <v>172</v>
      </c>
      <c r="S16" s="37" t="s">
        <v>172</v>
      </c>
      <c r="T16" s="37" t="s">
        <v>172</v>
      </c>
      <c r="U16" s="38" t="s">
        <v>172</v>
      </c>
      <c r="V16" s="38" t="s">
        <v>172</v>
      </c>
      <c r="W16" s="36">
        <v>7.19</v>
      </c>
      <c r="X16" s="38" t="s">
        <v>172</v>
      </c>
      <c r="Z16" s="36">
        <v>1.08</v>
      </c>
      <c r="AA16" s="36">
        <v>2.61</v>
      </c>
      <c r="AB16" s="36">
        <v>268.39999999999998</v>
      </c>
      <c r="AC16" s="38" t="s">
        <v>172</v>
      </c>
      <c r="AD16" s="38" t="s">
        <v>172</v>
      </c>
      <c r="AE16" s="38" t="s">
        <v>172</v>
      </c>
      <c r="AF16" s="38" t="s">
        <v>172</v>
      </c>
      <c r="AG16" s="38" t="s">
        <v>172</v>
      </c>
      <c r="AH16" s="38" t="s">
        <v>172</v>
      </c>
      <c r="AI16" s="38" t="s">
        <v>172</v>
      </c>
      <c r="AJ16" s="38" t="s">
        <v>172</v>
      </c>
      <c r="AM16" s="38" t="s">
        <v>172</v>
      </c>
      <c r="AN16" s="33" t="s">
        <v>172</v>
      </c>
      <c r="AO16" s="36" t="s">
        <v>172</v>
      </c>
      <c r="AP16" s="38" t="s">
        <v>172</v>
      </c>
      <c r="AQ16" s="33" t="s">
        <v>172</v>
      </c>
      <c r="AR16" s="33" t="s">
        <v>172</v>
      </c>
      <c r="AS16" s="1"/>
    </row>
    <row r="17" spans="1:45" ht="14.25" customHeight="1" x14ac:dyDescent="0.3">
      <c r="A17" s="61">
        <v>37832</v>
      </c>
      <c r="B17" s="68"/>
      <c r="C17" s="38" t="s">
        <v>191</v>
      </c>
      <c r="D17" s="38"/>
      <c r="E17" s="38" t="s">
        <v>19</v>
      </c>
      <c r="F17" s="58"/>
      <c r="G17" s="59"/>
      <c r="H17" s="38" t="s">
        <v>192</v>
      </c>
      <c r="I17" s="38"/>
      <c r="J17" s="69">
        <v>5138.49</v>
      </c>
      <c r="K17" s="36" t="s">
        <v>172</v>
      </c>
      <c r="L17" s="34" t="s">
        <v>172</v>
      </c>
      <c r="M17" s="70">
        <v>6.21</v>
      </c>
      <c r="N17" s="33" t="s">
        <v>172</v>
      </c>
      <c r="O17" s="38" t="s">
        <v>172</v>
      </c>
      <c r="P17" s="38" t="s">
        <v>172</v>
      </c>
      <c r="Q17" s="38">
        <v>5.4</v>
      </c>
      <c r="R17" s="37" t="s">
        <v>172</v>
      </c>
      <c r="S17" s="37" t="s">
        <v>172</v>
      </c>
      <c r="T17" s="37" t="s">
        <v>172</v>
      </c>
      <c r="U17" s="38" t="s">
        <v>172</v>
      </c>
      <c r="V17" s="38" t="s">
        <v>172</v>
      </c>
      <c r="W17" s="36">
        <v>3.53</v>
      </c>
      <c r="X17" s="38" t="s">
        <v>172</v>
      </c>
      <c r="Z17" s="36">
        <v>1.72</v>
      </c>
      <c r="AA17" s="36">
        <v>1.99</v>
      </c>
      <c r="AB17" s="36">
        <v>180.9</v>
      </c>
      <c r="AC17" s="38" t="s">
        <v>172</v>
      </c>
      <c r="AD17" s="38" t="s">
        <v>172</v>
      </c>
      <c r="AE17" s="38" t="s">
        <v>172</v>
      </c>
      <c r="AF17" s="38" t="s">
        <v>172</v>
      </c>
      <c r="AG17" s="38" t="s">
        <v>172</v>
      </c>
      <c r="AH17" s="38" t="s">
        <v>172</v>
      </c>
      <c r="AI17" s="38" t="s">
        <v>172</v>
      </c>
      <c r="AJ17" s="38" t="s">
        <v>172</v>
      </c>
      <c r="AM17" s="38" t="s">
        <v>172</v>
      </c>
      <c r="AN17" s="33" t="s">
        <v>172</v>
      </c>
      <c r="AO17" s="36" t="s">
        <v>172</v>
      </c>
      <c r="AP17" s="38" t="s">
        <v>172</v>
      </c>
      <c r="AQ17" s="33" t="s">
        <v>172</v>
      </c>
      <c r="AR17" s="33" t="s">
        <v>172</v>
      </c>
      <c r="AS17" s="1"/>
    </row>
    <row r="18" spans="1:45" ht="14.25" customHeight="1" x14ac:dyDescent="0.3">
      <c r="A18" s="61">
        <v>37854</v>
      </c>
      <c r="B18" s="68"/>
      <c r="C18" s="38" t="s">
        <v>191</v>
      </c>
      <c r="D18" s="38"/>
      <c r="E18" s="38" t="s">
        <v>19</v>
      </c>
      <c r="F18" s="58"/>
      <c r="G18" s="59"/>
      <c r="H18" s="38" t="s">
        <v>192</v>
      </c>
      <c r="I18" s="38"/>
      <c r="J18" s="69">
        <v>4572.53</v>
      </c>
      <c r="K18" s="36" t="s">
        <v>172</v>
      </c>
      <c r="L18" s="34" t="s">
        <v>172</v>
      </c>
      <c r="M18" s="70">
        <v>5.83</v>
      </c>
      <c r="N18" s="33" t="s">
        <v>172</v>
      </c>
      <c r="O18" s="38" t="s">
        <v>172</v>
      </c>
      <c r="P18" s="38" t="s">
        <v>172</v>
      </c>
      <c r="Q18" s="38">
        <v>4.5999999999999996</v>
      </c>
      <c r="R18" s="37" t="s">
        <v>172</v>
      </c>
      <c r="S18" s="37" t="s">
        <v>172</v>
      </c>
      <c r="T18" s="37" t="s">
        <v>172</v>
      </c>
      <c r="U18" s="38" t="s">
        <v>172</v>
      </c>
      <c r="V18" s="38" t="s">
        <v>172</v>
      </c>
      <c r="W18" s="36">
        <v>6.25</v>
      </c>
      <c r="X18" s="38" t="s">
        <v>172</v>
      </c>
      <c r="Z18" s="36">
        <v>2.64</v>
      </c>
      <c r="AA18" s="36">
        <v>2.86</v>
      </c>
      <c r="AB18" s="36">
        <v>195.9</v>
      </c>
      <c r="AC18" s="38" t="s">
        <v>172</v>
      </c>
      <c r="AD18" s="38" t="s">
        <v>172</v>
      </c>
      <c r="AE18" s="38" t="s">
        <v>172</v>
      </c>
      <c r="AF18" s="38" t="s">
        <v>172</v>
      </c>
      <c r="AG18" s="38" t="s">
        <v>172</v>
      </c>
      <c r="AH18" s="38" t="s">
        <v>172</v>
      </c>
      <c r="AI18" s="38" t="s">
        <v>172</v>
      </c>
      <c r="AJ18" s="38" t="s">
        <v>172</v>
      </c>
      <c r="AM18" s="38" t="s">
        <v>172</v>
      </c>
      <c r="AN18" s="33" t="s">
        <v>172</v>
      </c>
      <c r="AO18" s="36" t="s">
        <v>172</v>
      </c>
      <c r="AP18" s="38" t="s">
        <v>172</v>
      </c>
      <c r="AQ18" s="33" t="s">
        <v>172</v>
      </c>
      <c r="AR18" s="33" t="s">
        <v>172</v>
      </c>
      <c r="AS18" s="1"/>
    </row>
    <row r="19" spans="1:45" ht="14.25" customHeight="1" x14ac:dyDescent="0.3">
      <c r="A19" s="61">
        <v>37892</v>
      </c>
      <c r="B19" s="68"/>
      <c r="C19" s="38" t="s">
        <v>191</v>
      </c>
      <c r="D19" s="38"/>
      <c r="E19" s="38" t="s">
        <v>19</v>
      </c>
      <c r="F19" s="58"/>
      <c r="G19" s="59"/>
      <c r="H19" s="38" t="s">
        <v>192</v>
      </c>
      <c r="I19" s="38"/>
      <c r="J19" s="69">
        <v>5212.1400000000003</v>
      </c>
      <c r="K19" s="36" t="s">
        <v>172</v>
      </c>
      <c r="L19" s="34" t="s">
        <v>172</v>
      </c>
      <c r="M19" s="70">
        <v>6.6</v>
      </c>
      <c r="N19" s="33" t="s">
        <v>172</v>
      </c>
      <c r="O19" s="38" t="s">
        <v>172</v>
      </c>
      <c r="P19" s="38" t="s">
        <v>172</v>
      </c>
      <c r="Q19" s="38">
        <v>25.5</v>
      </c>
      <c r="R19" s="37" t="s">
        <v>172</v>
      </c>
      <c r="S19" s="37" t="s">
        <v>172</v>
      </c>
      <c r="T19" s="37" t="s">
        <v>172</v>
      </c>
      <c r="U19" s="38" t="s">
        <v>172</v>
      </c>
      <c r="V19" s="38" t="s">
        <v>172</v>
      </c>
      <c r="W19" s="36">
        <v>2.23</v>
      </c>
      <c r="X19" s="38" t="s">
        <v>172</v>
      </c>
      <c r="Z19" s="36">
        <v>0.33</v>
      </c>
      <c r="AA19" s="36">
        <v>1.07</v>
      </c>
      <c r="AB19" s="36">
        <v>105</v>
      </c>
      <c r="AC19" s="38" t="s">
        <v>172</v>
      </c>
      <c r="AD19" s="38" t="s">
        <v>172</v>
      </c>
      <c r="AE19" s="38" t="s">
        <v>172</v>
      </c>
      <c r="AF19" s="38" t="s">
        <v>172</v>
      </c>
      <c r="AG19" s="38" t="s">
        <v>172</v>
      </c>
      <c r="AH19" s="38" t="s">
        <v>172</v>
      </c>
      <c r="AI19" s="38" t="s">
        <v>172</v>
      </c>
      <c r="AJ19" s="38" t="s">
        <v>172</v>
      </c>
      <c r="AM19" s="38" t="s">
        <v>172</v>
      </c>
      <c r="AN19" s="33" t="s">
        <v>172</v>
      </c>
      <c r="AO19" s="36" t="s">
        <v>172</v>
      </c>
      <c r="AP19" s="38" t="s">
        <v>172</v>
      </c>
      <c r="AQ19" s="33" t="s">
        <v>172</v>
      </c>
      <c r="AR19" s="33" t="s">
        <v>172</v>
      </c>
      <c r="AS19" s="1"/>
    </row>
    <row r="20" spans="1:45" ht="14.25" customHeight="1" x14ac:dyDescent="0.3">
      <c r="A20" s="61">
        <v>37918</v>
      </c>
      <c r="B20" s="68"/>
      <c r="C20" s="38" t="s">
        <v>191</v>
      </c>
      <c r="D20" s="38"/>
      <c r="E20" s="38" t="s">
        <v>19</v>
      </c>
      <c r="F20" s="58"/>
      <c r="G20" s="59"/>
      <c r="H20" s="38" t="s">
        <v>192</v>
      </c>
      <c r="I20" s="38"/>
      <c r="J20" s="69">
        <v>2262.96</v>
      </c>
      <c r="K20" s="36" t="s">
        <v>172</v>
      </c>
      <c r="L20" s="34" t="s">
        <v>172</v>
      </c>
      <c r="M20" s="70">
        <v>6.24</v>
      </c>
      <c r="N20" s="33" t="s">
        <v>172</v>
      </c>
      <c r="O20" s="38" t="s">
        <v>172</v>
      </c>
      <c r="P20" s="38" t="s">
        <v>172</v>
      </c>
      <c r="Q20" s="38">
        <v>10.4</v>
      </c>
      <c r="R20" s="37" t="s">
        <v>172</v>
      </c>
      <c r="S20" s="37" t="s">
        <v>172</v>
      </c>
      <c r="T20" s="37" t="s">
        <v>172</v>
      </c>
      <c r="U20" s="38" t="s">
        <v>172</v>
      </c>
      <c r="V20" s="38" t="s">
        <v>172</v>
      </c>
      <c r="W20" s="36">
        <v>6.62</v>
      </c>
      <c r="X20" s="38" t="s">
        <v>172</v>
      </c>
      <c r="Z20" s="36">
        <v>1.73</v>
      </c>
      <c r="AA20" s="36">
        <v>1.97</v>
      </c>
      <c r="AB20" s="36">
        <v>188.9</v>
      </c>
      <c r="AC20" s="38" t="s">
        <v>172</v>
      </c>
      <c r="AD20" s="38" t="s">
        <v>172</v>
      </c>
      <c r="AE20" s="38" t="s">
        <v>172</v>
      </c>
      <c r="AF20" s="38" t="s">
        <v>172</v>
      </c>
      <c r="AG20" s="38" t="s">
        <v>172</v>
      </c>
      <c r="AH20" s="38" t="s">
        <v>172</v>
      </c>
      <c r="AI20" s="38" t="s">
        <v>172</v>
      </c>
      <c r="AJ20" s="38" t="s">
        <v>172</v>
      </c>
      <c r="AM20" s="38" t="s">
        <v>172</v>
      </c>
      <c r="AN20" s="33" t="s">
        <v>172</v>
      </c>
      <c r="AO20" s="36" t="s">
        <v>172</v>
      </c>
      <c r="AP20" s="38" t="s">
        <v>172</v>
      </c>
      <c r="AQ20" s="33" t="s">
        <v>172</v>
      </c>
      <c r="AR20" s="33" t="s">
        <v>172</v>
      </c>
      <c r="AS20" s="1"/>
    </row>
    <row r="21" spans="1:45" ht="14.25" customHeight="1" x14ac:dyDescent="0.3">
      <c r="A21" s="61">
        <v>37925</v>
      </c>
      <c r="B21" s="68"/>
      <c r="C21" s="38" t="s">
        <v>191</v>
      </c>
      <c r="D21" s="38"/>
      <c r="E21" s="38" t="s">
        <v>19</v>
      </c>
      <c r="F21" s="58"/>
      <c r="G21" s="59"/>
      <c r="H21" s="38" t="s">
        <v>180</v>
      </c>
      <c r="I21" s="38"/>
      <c r="J21" s="69" t="s">
        <v>172</v>
      </c>
      <c r="K21" s="36" t="s">
        <v>172</v>
      </c>
      <c r="L21" s="34" t="s">
        <v>172</v>
      </c>
      <c r="M21" s="70">
        <v>6.7</v>
      </c>
      <c r="N21" s="33" t="s">
        <v>172</v>
      </c>
      <c r="O21" s="38" t="s">
        <v>172</v>
      </c>
      <c r="P21" s="38" t="s">
        <v>172</v>
      </c>
      <c r="Q21" s="38">
        <v>24.8</v>
      </c>
      <c r="R21" s="37" t="s">
        <v>172</v>
      </c>
      <c r="S21" s="37" t="s">
        <v>172</v>
      </c>
      <c r="T21" s="37" t="s">
        <v>172</v>
      </c>
      <c r="U21" s="38" t="s">
        <v>172</v>
      </c>
      <c r="V21" s="38" t="s">
        <v>172</v>
      </c>
      <c r="W21" s="36">
        <v>5.38</v>
      </c>
      <c r="X21" s="38">
        <v>4.3499999999999996</v>
      </c>
      <c r="Z21" s="36">
        <v>0.91</v>
      </c>
      <c r="AA21" s="36">
        <v>1.91</v>
      </c>
      <c r="AB21" s="36">
        <v>156.4</v>
      </c>
      <c r="AC21" s="38" t="s">
        <v>172</v>
      </c>
      <c r="AD21" s="38" t="s">
        <v>172</v>
      </c>
      <c r="AE21" s="38" t="s">
        <v>172</v>
      </c>
      <c r="AF21" s="38" t="s">
        <v>172</v>
      </c>
      <c r="AG21" s="38" t="s">
        <v>172</v>
      </c>
      <c r="AH21" s="38" t="s">
        <v>172</v>
      </c>
      <c r="AI21" s="38" t="s">
        <v>172</v>
      </c>
      <c r="AJ21" s="38" t="s">
        <v>172</v>
      </c>
      <c r="AM21" s="38" t="s">
        <v>172</v>
      </c>
      <c r="AN21" s="33" t="s">
        <v>172</v>
      </c>
      <c r="AO21" s="36" t="s">
        <v>172</v>
      </c>
      <c r="AP21" s="38" t="s">
        <v>172</v>
      </c>
      <c r="AQ21" s="33" t="s">
        <v>172</v>
      </c>
      <c r="AR21" s="33" t="s">
        <v>172</v>
      </c>
      <c r="AS21" s="1"/>
    </row>
    <row r="22" spans="1:45" ht="14.25" customHeight="1" x14ac:dyDescent="0.3">
      <c r="A22" s="61">
        <v>37962</v>
      </c>
      <c r="B22" s="68"/>
      <c r="C22" s="38" t="s">
        <v>191</v>
      </c>
      <c r="D22" s="38"/>
      <c r="E22" s="38" t="s">
        <v>19</v>
      </c>
      <c r="F22" s="58"/>
      <c r="G22" s="59"/>
      <c r="H22" s="38" t="s">
        <v>192</v>
      </c>
      <c r="I22" s="38"/>
      <c r="J22" s="69">
        <v>5212.1400000000003</v>
      </c>
      <c r="K22" s="36" t="s">
        <v>172</v>
      </c>
      <c r="L22" s="34" t="s">
        <v>172</v>
      </c>
      <c r="M22" s="70">
        <v>6.7</v>
      </c>
      <c r="N22" s="33" t="s">
        <v>172</v>
      </c>
      <c r="O22" s="38" t="s">
        <v>172</v>
      </c>
      <c r="P22" s="38" t="s">
        <v>172</v>
      </c>
      <c r="Q22" s="38">
        <v>10.199999999999999</v>
      </c>
      <c r="R22" s="37" t="s">
        <v>172</v>
      </c>
      <c r="S22" s="37" t="s">
        <v>172</v>
      </c>
      <c r="T22" s="37" t="s">
        <v>172</v>
      </c>
      <c r="U22" s="38" t="s">
        <v>172</v>
      </c>
      <c r="V22" s="38" t="s">
        <v>172</v>
      </c>
      <c r="W22" s="36">
        <v>4.6100000000000003</v>
      </c>
      <c r="X22" s="38" t="s">
        <v>172</v>
      </c>
      <c r="Z22" s="36">
        <v>2</v>
      </c>
      <c r="AA22" s="36">
        <v>1.73</v>
      </c>
      <c r="AB22" s="36">
        <v>168.2</v>
      </c>
      <c r="AC22" s="38" t="s">
        <v>172</v>
      </c>
      <c r="AD22" s="38" t="s">
        <v>172</v>
      </c>
      <c r="AE22" s="38" t="s">
        <v>172</v>
      </c>
      <c r="AF22" s="38" t="s">
        <v>172</v>
      </c>
      <c r="AG22" s="38" t="s">
        <v>172</v>
      </c>
      <c r="AH22" s="38" t="s">
        <v>172</v>
      </c>
      <c r="AI22" s="38" t="s">
        <v>172</v>
      </c>
      <c r="AJ22" s="38" t="s">
        <v>172</v>
      </c>
      <c r="AM22" s="38" t="s">
        <v>172</v>
      </c>
      <c r="AN22" s="33" t="s">
        <v>172</v>
      </c>
      <c r="AO22" s="36" t="s">
        <v>172</v>
      </c>
      <c r="AP22" s="38" t="s">
        <v>172</v>
      </c>
      <c r="AQ22" s="33" t="s">
        <v>172</v>
      </c>
      <c r="AR22" s="33" t="s">
        <v>172</v>
      </c>
      <c r="AS22" s="1"/>
    </row>
    <row r="23" spans="1:45" ht="14.25" customHeight="1" x14ac:dyDescent="0.3">
      <c r="A23" s="61">
        <v>37988</v>
      </c>
      <c r="B23" s="68"/>
      <c r="C23" s="38" t="s">
        <v>191</v>
      </c>
      <c r="D23" s="38"/>
      <c r="E23" s="38" t="s">
        <v>19</v>
      </c>
      <c r="F23" s="58"/>
      <c r="G23" s="59"/>
      <c r="H23" s="38" t="s">
        <v>192</v>
      </c>
      <c r="I23" s="38"/>
      <c r="J23" s="69" t="s">
        <v>172</v>
      </c>
      <c r="K23" s="36" t="s">
        <v>172</v>
      </c>
      <c r="L23" s="34" t="s">
        <v>172</v>
      </c>
      <c r="M23" s="70">
        <v>6.86</v>
      </c>
      <c r="N23" s="33" t="s">
        <v>172</v>
      </c>
      <c r="O23" s="38" t="s">
        <v>172</v>
      </c>
      <c r="P23" s="38" t="s">
        <v>172</v>
      </c>
      <c r="Q23" s="38">
        <v>14.7</v>
      </c>
      <c r="R23" s="37" t="s">
        <v>172</v>
      </c>
      <c r="S23" s="37" t="s">
        <v>172</v>
      </c>
      <c r="T23" s="37" t="s">
        <v>172</v>
      </c>
      <c r="U23" s="38" t="s">
        <v>172</v>
      </c>
      <c r="V23" s="38" t="s">
        <v>172</v>
      </c>
      <c r="W23" s="36">
        <v>3.37</v>
      </c>
      <c r="X23" s="38" t="s">
        <v>172</v>
      </c>
      <c r="Z23" s="36">
        <v>1.74</v>
      </c>
      <c r="AA23" s="36">
        <v>0.78</v>
      </c>
      <c r="AB23" s="36">
        <v>77</v>
      </c>
      <c r="AC23" s="38" t="s">
        <v>172</v>
      </c>
      <c r="AD23" s="38" t="s">
        <v>172</v>
      </c>
      <c r="AE23" s="38" t="s">
        <v>172</v>
      </c>
      <c r="AF23" s="38" t="s">
        <v>172</v>
      </c>
      <c r="AG23" s="38" t="s">
        <v>172</v>
      </c>
      <c r="AH23" s="38" t="s">
        <v>172</v>
      </c>
      <c r="AI23" s="38" t="s">
        <v>172</v>
      </c>
      <c r="AJ23" s="38" t="s">
        <v>172</v>
      </c>
      <c r="AM23" s="38" t="s">
        <v>172</v>
      </c>
      <c r="AN23" s="33" t="s">
        <v>172</v>
      </c>
      <c r="AO23" s="36" t="s">
        <v>172</v>
      </c>
      <c r="AP23" s="38" t="s">
        <v>172</v>
      </c>
      <c r="AQ23" s="33" t="s">
        <v>172</v>
      </c>
      <c r="AR23" s="33" t="s">
        <v>172</v>
      </c>
      <c r="AS23" s="1"/>
    </row>
    <row r="24" spans="1:45" ht="14.25" customHeight="1" x14ac:dyDescent="0.3">
      <c r="A24" s="61">
        <v>38046</v>
      </c>
      <c r="B24" s="68"/>
      <c r="C24" s="38" t="s">
        <v>191</v>
      </c>
      <c r="D24" s="38"/>
      <c r="E24" s="38" t="s">
        <v>19</v>
      </c>
      <c r="F24" s="58"/>
      <c r="G24" s="59"/>
      <c r="H24" s="38" t="s">
        <v>192</v>
      </c>
      <c r="I24" s="38"/>
      <c r="J24" s="69">
        <v>24066.400000000001</v>
      </c>
      <c r="K24" s="36" t="s">
        <v>172</v>
      </c>
      <c r="L24" s="34" t="s">
        <v>172</v>
      </c>
      <c r="M24" s="70">
        <v>6.27</v>
      </c>
      <c r="N24" s="33" t="s">
        <v>172</v>
      </c>
      <c r="O24" s="38" t="s">
        <v>172</v>
      </c>
      <c r="P24" s="38" t="s">
        <v>172</v>
      </c>
      <c r="Q24" s="38">
        <v>11.7</v>
      </c>
      <c r="R24" s="37" t="s">
        <v>172</v>
      </c>
      <c r="S24" s="37" t="s">
        <v>172</v>
      </c>
      <c r="T24" s="37" t="s">
        <v>172</v>
      </c>
      <c r="U24" s="38" t="s">
        <v>172</v>
      </c>
      <c r="V24" s="38" t="s">
        <v>172</v>
      </c>
      <c r="W24" s="36">
        <v>3.79</v>
      </c>
      <c r="X24" s="38" t="s">
        <v>172</v>
      </c>
      <c r="Z24" s="36">
        <v>1.69</v>
      </c>
      <c r="AA24" s="36">
        <v>1.29</v>
      </c>
      <c r="AB24" s="36">
        <v>135</v>
      </c>
      <c r="AC24" s="38" t="s">
        <v>172</v>
      </c>
      <c r="AD24" s="38" t="s">
        <v>172</v>
      </c>
      <c r="AE24" s="38" t="s">
        <v>172</v>
      </c>
      <c r="AF24" s="38" t="s">
        <v>172</v>
      </c>
      <c r="AG24" s="38" t="s">
        <v>172</v>
      </c>
      <c r="AH24" s="38" t="s">
        <v>172</v>
      </c>
      <c r="AI24" s="38" t="s">
        <v>172</v>
      </c>
      <c r="AJ24" s="38" t="s">
        <v>172</v>
      </c>
      <c r="AM24" s="38" t="s">
        <v>172</v>
      </c>
      <c r="AN24" s="33" t="s">
        <v>172</v>
      </c>
      <c r="AO24" s="36" t="s">
        <v>172</v>
      </c>
      <c r="AP24" s="38" t="s">
        <v>172</v>
      </c>
      <c r="AQ24" s="33" t="s">
        <v>172</v>
      </c>
      <c r="AR24" s="33" t="s">
        <v>172</v>
      </c>
      <c r="AS24" s="1"/>
    </row>
    <row r="25" spans="1:45" ht="14.25" customHeight="1" x14ac:dyDescent="0.3">
      <c r="A25" s="61">
        <v>38073</v>
      </c>
      <c r="B25" s="68"/>
      <c r="C25" s="38" t="s">
        <v>191</v>
      </c>
      <c r="D25" s="38"/>
      <c r="E25" s="38" t="s">
        <v>19</v>
      </c>
      <c r="F25" s="58"/>
      <c r="G25" s="59"/>
      <c r="H25" s="38" t="s">
        <v>192</v>
      </c>
      <c r="I25" s="38"/>
      <c r="J25" s="69">
        <v>21412.81</v>
      </c>
      <c r="K25" s="36" t="s">
        <v>172</v>
      </c>
      <c r="L25" s="34" t="s">
        <v>172</v>
      </c>
      <c r="M25" s="70">
        <v>6.04</v>
      </c>
      <c r="N25" s="33" t="s">
        <v>172</v>
      </c>
      <c r="O25" s="38" t="s">
        <v>172</v>
      </c>
      <c r="P25" s="38" t="s">
        <v>172</v>
      </c>
      <c r="Q25" s="38">
        <v>5.7</v>
      </c>
      <c r="R25" s="37" t="s">
        <v>172</v>
      </c>
      <c r="S25" s="37" t="s">
        <v>172</v>
      </c>
      <c r="T25" s="37" t="s">
        <v>172</v>
      </c>
      <c r="U25" s="38" t="s">
        <v>172</v>
      </c>
      <c r="V25" s="38" t="s">
        <v>172</v>
      </c>
      <c r="W25" s="36">
        <v>3.36</v>
      </c>
      <c r="X25" s="38" t="s">
        <v>172</v>
      </c>
      <c r="Z25" s="36">
        <v>1.71</v>
      </c>
      <c r="AA25" s="36">
        <v>1.62</v>
      </c>
      <c r="AB25" s="36">
        <v>142.30000000000001</v>
      </c>
      <c r="AC25" s="38" t="s">
        <v>172</v>
      </c>
      <c r="AD25" s="38" t="s">
        <v>172</v>
      </c>
      <c r="AE25" s="38" t="s">
        <v>172</v>
      </c>
      <c r="AF25" s="38" t="s">
        <v>172</v>
      </c>
      <c r="AG25" s="38" t="s">
        <v>172</v>
      </c>
      <c r="AH25" s="38" t="s">
        <v>172</v>
      </c>
      <c r="AI25" s="38" t="s">
        <v>172</v>
      </c>
      <c r="AJ25" s="38" t="s">
        <v>172</v>
      </c>
      <c r="AM25" s="38" t="s">
        <v>172</v>
      </c>
      <c r="AN25" s="33" t="s">
        <v>172</v>
      </c>
      <c r="AO25" s="36" t="s">
        <v>172</v>
      </c>
      <c r="AP25" s="38" t="s">
        <v>172</v>
      </c>
      <c r="AQ25" s="33" t="s">
        <v>172</v>
      </c>
      <c r="AR25" s="33" t="s">
        <v>172</v>
      </c>
      <c r="AS25" s="1"/>
    </row>
    <row r="26" spans="1:45" ht="14.25" customHeight="1" x14ac:dyDescent="0.3">
      <c r="A26" s="61">
        <v>38094</v>
      </c>
      <c r="B26" s="68"/>
      <c r="C26" s="38" t="s">
        <v>191</v>
      </c>
      <c r="D26" s="38"/>
      <c r="E26" s="38" t="s">
        <v>19</v>
      </c>
      <c r="F26" s="58"/>
      <c r="G26" s="59"/>
      <c r="H26" s="38" t="s">
        <v>192</v>
      </c>
      <c r="I26" s="38"/>
      <c r="J26" s="69">
        <v>23617.4</v>
      </c>
      <c r="K26" s="36" t="s">
        <v>172</v>
      </c>
      <c r="L26" s="34" t="s">
        <v>172</v>
      </c>
      <c r="M26" s="70">
        <v>5.82</v>
      </c>
      <c r="N26" s="33" t="s">
        <v>172</v>
      </c>
      <c r="O26" s="38" t="s">
        <v>172</v>
      </c>
      <c r="P26" s="38" t="s">
        <v>172</v>
      </c>
      <c r="Q26" s="38">
        <v>2.6</v>
      </c>
      <c r="R26" s="37" t="s">
        <v>172</v>
      </c>
      <c r="S26" s="37" t="s">
        <v>172</v>
      </c>
      <c r="T26" s="37" t="s">
        <v>172</v>
      </c>
      <c r="U26" s="38" t="s">
        <v>172</v>
      </c>
      <c r="V26" s="38" t="s">
        <v>172</v>
      </c>
      <c r="W26" s="36">
        <v>2.34</v>
      </c>
      <c r="X26" s="38" t="s">
        <v>172</v>
      </c>
      <c r="Z26" s="36">
        <v>2.14</v>
      </c>
      <c r="AA26" s="36">
        <v>1.67</v>
      </c>
      <c r="AB26" s="36">
        <v>139.1</v>
      </c>
      <c r="AC26" s="38" t="s">
        <v>172</v>
      </c>
      <c r="AD26" s="38" t="s">
        <v>172</v>
      </c>
      <c r="AE26" s="38" t="s">
        <v>172</v>
      </c>
      <c r="AF26" s="38" t="s">
        <v>172</v>
      </c>
      <c r="AG26" s="38" t="s">
        <v>172</v>
      </c>
      <c r="AH26" s="38" t="s">
        <v>172</v>
      </c>
      <c r="AI26" s="38" t="s">
        <v>172</v>
      </c>
      <c r="AJ26" s="38" t="s">
        <v>172</v>
      </c>
      <c r="AM26" s="38" t="s">
        <v>172</v>
      </c>
      <c r="AN26" s="33" t="s">
        <v>172</v>
      </c>
      <c r="AO26" s="36" t="s">
        <v>172</v>
      </c>
      <c r="AP26" s="38" t="s">
        <v>172</v>
      </c>
      <c r="AQ26" s="33" t="s">
        <v>172</v>
      </c>
      <c r="AR26" s="33" t="s">
        <v>172</v>
      </c>
      <c r="AS26" s="1"/>
    </row>
    <row r="27" spans="1:45" ht="14.25" customHeight="1" x14ac:dyDescent="0.3">
      <c r="A27" s="61">
        <v>38121</v>
      </c>
      <c r="B27" s="68"/>
      <c r="C27" s="38" t="s">
        <v>191</v>
      </c>
      <c r="D27" s="38"/>
      <c r="E27" s="38" t="s">
        <v>19</v>
      </c>
      <c r="F27" s="58"/>
      <c r="G27" s="59"/>
      <c r="H27" s="38" t="s">
        <v>192</v>
      </c>
      <c r="I27" s="38"/>
      <c r="J27" s="69">
        <v>4094.88</v>
      </c>
      <c r="K27" s="36" t="s">
        <v>172</v>
      </c>
      <c r="L27" s="34" t="s">
        <v>172</v>
      </c>
      <c r="M27" s="70">
        <v>6.5</v>
      </c>
      <c r="N27" s="33" t="s">
        <v>172</v>
      </c>
      <c r="O27" s="38" t="s">
        <v>172</v>
      </c>
      <c r="P27" s="38" t="s">
        <v>172</v>
      </c>
      <c r="Q27" s="38">
        <v>9.1999999999999993</v>
      </c>
      <c r="R27" s="37" t="s">
        <v>172</v>
      </c>
      <c r="S27" s="37" t="s">
        <v>172</v>
      </c>
      <c r="T27" s="37" t="s">
        <v>172</v>
      </c>
      <c r="U27" s="38" t="s">
        <v>172</v>
      </c>
      <c r="V27" s="38" t="s">
        <v>172</v>
      </c>
      <c r="W27" s="36">
        <v>3.63</v>
      </c>
      <c r="X27" s="38" t="s">
        <v>172</v>
      </c>
      <c r="Z27" s="36">
        <v>0.9</v>
      </c>
      <c r="AA27" s="36">
        <v>2.13</v>
      </c>
      <c r="AB27" s="36">
        <v>208.6</v>
      </c>
      <c r="AC27" s="38" t="s">
        <v>172</v>
      </c>
      <c r="AD27" s="38" t="s">
        <v>172</v>
      </c>
      <c r="AE27" s="38" t="s">
        <v>172</v>
      </c>
      <c r="AF27" s="38" t="s">
        <v>172</v>
      </c>
      <c r="AG27" s="38" t="s">
        <v>172</v>
      </c>
      <c r="AH27" s="38" t="s">
        <v>172</v>
      </c>
      <c r="AI27" s="38" t="s">
        <v>172</v>
      </c>
      <c r="AJ27" s="38" t="s">
        <v>172</v>
      </c>
      <c r="AM27" s="38" t="s">
        <v>172</v>
      </c>
      <c r="AN27" s="33" t="s">
        <v>172</v>
      </c>
      <c r="AO27" s="36" t="s">
        <v>172</v>
      </c>
      <c r="AP27" s="38" t="s">
        <v>172</v>
      </c>
      <c r="AQ27" s="33" t="s">
        <v>172</v>
      </c>
      <c r="AR27" s="33" t="s">
        <v>172</v>
      </c>
      <c r="AS27" s="1"/>
    </row>
    <row r="28" spans="1:45" ht="14.25" customHeight="1" x14ac:dyDescent="0.3">
      <c r="A28" s="61">
        <v>44845</v>
      </c>
      <c r="B28" s="68" t="s">
        <v>18</v>
      </c>
      <c r="C28" s="38" t="s">
        <v>145</v>
      </c>
      <c r="D28" s="38">
        <v>60150</v>
      </c>
      <c r="E28" s="38" t="s">
        <v>19</v>
      </c>
      <c r="F28" s="58">
        <v>40.637540000000001</v>
      </c>
      <c r="G28" s="59">
        <v>-79.03631</v>
      </c>
      <c r="H28" s="38" t="s">
        <v>90</v>
      </c>
      <c r="I28" s="38"/>
      <c r="J28" s="69">
        <v>1482</v>
      </c>
      <c r="K28" s="36" t="s">
        <v>172</v>
      </c>
      <c r="L28" s="34">
        <v>7.05</v>
      </c>
      <c r="M28" s="70">
        <v>6.7</v>
      </c>
      <c r="N28" s="33">
        <v>429</v>
      </c>
      <c r="O28" s="38">
        <v>427</v>
      </c>
      <c r="P28" s="38">
        <v>8.1999999999999993</v>
      </c>
      <c r="Q28" s="38">
        <v>23.5</v>
      </c>
      <c r="R28" s="37">
        <v>30.8</v>
      </c>
      <c r="S28" s="37">
        <v>-11.2</v>
      </c>
      <c r="T28" s="37">
        <v>-20.711073745309331</v>
      </c>
      <c r="U28" s="38">
        <v>10.199999999999999</v>
      </c>
      <c r="V28" s="38">
        <v>86.5</v>
      </c>
      <c r="W28" s="36">
        <v>1.0249999999999999</v>
      </c>
      <c r="X28" s="38">
        <v>0.55300000000000005</v>
      </c>
      <c r="Z28" s="36" t="s">
        <v>172</v>
      </c>
      <c r="AA28" s="36">
        <v>0.997</v>
      </c>
      <c r="AB28" s="36">
        <v>173.2</v>
      </c>
      <c r="AC28" s="38">
        <v>44.95</v>
      </c>
      <c r="AD28" s="38">
        <v>19.95</v>
      </c>
      <c r="AE28" s="38">
        <v>5.32</v>
      </c>
      <c r="AF28" s="38">
        <v>2.1</v>
      </c>
      <c r="AG28" s="38">
        <v>8.1</v>
      </c>
      <c r="AH28" s="38" t="s">
        <v>172</v>
      </c>
      <c r="AI28" s="38" t="s">
        <v>172</v>
      </c>
      <c r="AJ28" s="38" t="s">
        <v>172</v>
      </c>
      <c r="AM28" s="38" t="s">
        <v>172</v>
      </c>
      <c r="AN28" s="33">
        <v>-199.18079999999998</v>
      </c>
      <c r="AO28" s="36">
        <v>18.2286</v>
      </c>
      <c r="AP28" s="38" t="s">
        <v>172</v>
      </c>
      <c r="AQ28" s="33">
        <v>17.730648000000002</v>
      </c>
      <c r="AR28" s="33">
        <v>3080.1887999999999</v>
      </c>
      <c r="AS28" s="1">
        <f t="shared" si="0"/>
        <v>547.74720000000002</v>
      </c>
    </row>
    <row r="29" spans="1:45" ht="14.25" customHeight="1" x14ac:dyDescent="0.3">
      <c r="A29" s="61">
        <v>44903</v>
      </c>
      <c r="B29" s="68" t="s">
        <v>18</v>
      </c>
      <c r="C29" s="38" t="s">
        <v>145</v>
      </c>
      <c r="D29" s="38">
        <v>60150</v>
      </c>
      <c r="E29" s="38" t="s">
        <v>19</v>
      </c>
      <c r="F29" s="58">
        <v>40.637540000000001</v>
      </c>
      <c r="G29" s="59">
        <v>-79.03631</v>
      </c>
      <c r="H29" s="38" t="s">
        <v>90</v>
      </c>
      <c r="I29" s="38"/>
      <c r="J29" s="69">
        <v>3649</v>
      </c>
      <c r="K29" s="36" t="s">
        <v>172</v>
      </c>
      <c r="L29" s="34">
        <v>6.91</v>
      </c>
      <c r="M29" s="70">
        <v>6.8</v>
      </c>
      <c r="N29" s="33">
        <v>290.2</v>
      </c>
      <c r="O29" s="38">
        <v>296</v>
      </c>
      <c r="P29" s="38">
        <v>7.9</v>
      </c>
      <c r="Q29" s="38">
        <v>25.25</v>
      </c>
      <c r="R29" s="37">
        <v>31.2</v>
      </c>
      <c r="S29" s="37">
        <v>-13.8</v>
      </c>
      <c r="T29" s="37">
        <v>-23.30999865614594</v>
      </c>
      <c r="U29" s="38" t="s">
        <v>172</v>
      </c>
      <c r="V29" s="38" t="s">
        <v>172</v>
      </c>
      <c r="W29" s="36">
        <v>1.32</v>
      </c>
      <c r="X29" s="38">
        <v>0.47499999999999998</v>
      </c>
      <c r="Z29" s="36" t="s">
        <v>172</v>
      </c>
      <c r="AA29" s="36">
        <v>0.60199999999999998</v>
      </c>
      <c r="AB29" s="36" t="s">
        <v>172</v>
      </c>
      <c r="AC29" s="38">
        <v>30.7</v>
      </c>
      <c r="AD29" s="38">
        <v>12.2</v>
      </c>
      <c r="AE29" s="38">
        <v>4.7699999999999996</v>
      </c>
      <c r="AF29" s="38">
        <v>1.8</v>
      </c>
      <c r="AG29" s="38">
        <v>8</v>
      </c>
      <c r="AH29" s="38" t="s">
        <v>172</v>
      </c>
      <c r="AI29" s="38" t="s">
        <v>172</v>
      </c>
      <c r="AJ29" s="38" t="s">
        <v>172</v>
      </c>
      <c r="AM29" s="38" t="s">
        <v>172</v>
      </c>
      <c r="AN29" s="33">
        <v>-604.27440000000001</v>
      </c>
      <c r="AO29" s="36">
        <v>57.800160000000005</v>
      </c>
      <c r="AP29" s="38" t="s">
        <v>172</v>
      </c>
      <c r="AQ29" s="33">
        <v>26.360375999999999</v>
      </c>
      <c r="AR29" s="33" t="s">
        <v>172</v>
      </c>
      <c r="AS29" s="1">
        <f t="shared" si="0"/>
        <v>1366.1856</v>
      </c>
    </row>
    <row r="30" spans="1:45" ht="14.25" customHeight="1" x14ac:dyDescent="0.3">
      <c r="A30" s="61">
        <v>44964</v>
      </c>
      <c r="B30" s="68" t="s">
        <v>18</v>
      </c>
      <c r="C30" s="38" t="s">
        <v>145</v>
      </c>
      <c r="D30" s="38">
        <v>60150</v>
      </c>
      <c r="E30" s="38" t="s">
        <v>19</v>
      </c>
      <c r="F30" s="58">
        <v>40.637540000000001</v>
      </c>
      <c r="G30" s="59">
        <v>-79.03631</v>
      </c>
      <c r="H30" s="38" t="s">
        <v>218</v>
      </c>
      <c r="I30" s="38"/>
      <c r="J30" s="69">
        <v>3381</v>
      </c>
      <c r="K30" s="36" t="s">
        <v>172</v>
      </c>
      <c r="L30" s="34">
        <v>7.46</v>
      </c>
      <c r="M30" s="70">
        <v>6.6</v>
      </c>
      <c r="N30" s="33">
        <v>342</v>
      </c>
      <c r="O30" s="38">
        <v>336</v>
      </c>
      <c r="P30" s="38" t="s">
        <v>172</v>
      </c>
      <c r="Q30" s="38">
        <v>21</v>
      </c>
      <c r="R30" s="37">
        <v>23.8</v>
      </c>
      <c r="S30" s="37">
        <v>-16.600000000000001</v>
      </c>
      <c r="T30" s="37">
        <v>-17.606176315747739</v>
      </c>
      <c r="U30" s="38" t="s">
        <v>172</v>
      </c>
      <c r="V30" s="38" t="s">
        <v>172</v>
      </c>
      <c r="W30" s="36">
        <v>2.306</v>
      </c>
      <c r="X30" s="38">
        <v>0.99099999999999999</v>
      </c>
      <c r="Z30" s="36">
        <v>0.64300000000000002</v>
      </c>
      <c r="AA30" s="36">
        <v>0.89900000000000002</v>
      </c>
      <c r="AB30" s="36">
        <v>113.08</v>
      </c>
      <c r="AC30" s="38">
        <v>33.659999999999997</v>
      </c>
      <c r="AD30" s="38">
        <v>15.3</v>
      </c>
      <c r="AE30" s="38">
        <v>4.88</v>
      </c>
      <c r="AF30" s="38">
        <v>1.71</v>
      </c>
      <c r="AG30" s="38">
        <v>8.1999999999999993</v>
      </c>
      <c r="AH30" s="38" t="s">
        <v>172</v>
      </c>
      <c r="AI30" s="38">
        <v>4.8000000000000001E-2</v>
      </c>
      <c r="AJ30" s="38" t="s">
        <v>172</v>
      </c>
      <c r="AM30" s="38" t="s">
        <v>172</v>
      </c>
      <c r="AN30" s="33">
        <v>-673.49520000000007</v>
      </c>
      <c r="AO30" s="36">
        <v>93.559032000000002</v>
      </c>
      <c r="AP30" s="37">
        <v>26.087796000000001</v>
      </c>
      <c r="AQ30" s="33">
        <v>36.474228000000004</v>
      </c>
      <c r="AR30" s="33">
        <v>4587.8817600000002</v>
      </c>
      <c r="AS30" s="1">
        <f t="shared" si="0"/>
        <v>965.61360000000013</v>
      </c>
    </row>
    <row r="31" spans="1:45" ht="14.25" customHeight="1" x14ac:dyDescent="0.3">
      <c r="A31" s="61">
        <v>45022</v>
      </c>
      <c r="B31" s="68" t="s">
        <v>20</v>
      </c>
      <c r="C31" s="38" t="s">
        <v>145</v>
      </c>
      <c r="D31" s="38">
        <v>60150</v>
      </c>
      <c r="E31" s="38" t="s">
        <v>19</v>
      </c>
      <c r="F31" s="58">
        <v>40.637540000000001</v>
      </c>
      <c r="G31" s="59">
        <v>-79.03631</v>
      </c>
      <c r="H31" s="38" t="s">
        <v>256</v>
      </c>
      <c r="I31" s="38"/>
      <c r="J31" s="69">
        <v>4805</v>
      </c>
      <c r="K31" s="36" t="s">
        <v>172</v>
      </c>
      <c r="L31" s="34">
        <v>7.02</v>
      </c>
      <c r="M31" s="70">
        <v>6.2</v>
      </c>
      <c r="N31" s="33">
        <v>303</v>
      </c>
      <c r="O31" s="38">
        <v>317</v>
      </c>
      <c r="P31" s="38" t="s">
        <v>172</v>
      </c>
      <c r="Q31" s="38">
        <v>21.5</v>
      </c>
      <c r="R31" s="37">
        <v>20.399999999999999</v>
      </c>
      <c r="S31" s="37">
        <v>-4.5999999999999996</v>
      </c>
      <c r="T31" s="4" cm="1">
        <f t="array" ref="T31">_xlfn.IFS(L31&lt;=5,IF(ISNUMBER(X31)=TRUE,X31*1.79+AA31*1.8+Z31*5.56+50000*(10^-L31)-R31,1.79+AA31*1.8+Z31*5.56+50000*(10^-L31)-R31),L31&gt;5,IF(ISNUMBER(X31)=TRUE,X31*1.79+AA31*1.8+50000*(10^-L31)-R31,AA31*1.8+50000*(10^-L31)-R31))</f>
        <v>-18.385205037069891</v>
      </c>
      <c r="U31" s="38" t="s">
        <v>172</v>
      </c>
      <c r="V31" s="38" t="s">
        <v>172</v>
      </c>
      <c r="W31" s="36">
        <v>1.61</v>
      </c>
      <c r="X31" s="38">
        <v>0.41799999999999998</v>
      </c>
      <c r="Z31" s="36">
        <v>0.60699999999999998</v>
      </c>
      <c r="AA31" s="36">
        <v>0.70099999999999996</v>
      </c>
      <c r="AB31" s="36">
        <v>101.41</v>
      </c>
      <c r="AC31" s="38">
        <v>30.6</v>
      </c>
      <c r="AD31" s="38">
        <v>13.2</v>
      </c>
      <c r="AE31" s="38">
        <v>4.45</v>
      </c>
      <c r="AF31" s="38">
        <v>1.74</v>
      </c>
      <c r="AG31" s="38">
        <v>8.1999999999999993</v>
      </c>
      <c r="AH31" s="38" t="s">
        <v>172</v>
      </c>
      <c r="AI31" s="38">
        <v>3.4000000000000002E-2</v>
      </c>
      <c r="AJ31" s="38" t="s">
        <v>172</v>
      </c>
      <c r="AM31" s="38" t="s">
        <v>172</v>
      </c>
      <c r="AN31" s="33">
        <v>-265.23599999999999</v>
      </c>
      <c r="AO31" s="36">
        <v>92.832599999999999</v>
      </c>
      <c r="AP31" s="37">
        <v>34.99962</v>
      </c>
      <c r="AQ31" s="33">
        <v>40.41966</v>
      </c>
      <c r="AR31" s="33">
        <v>5847.3005999999996</v>
      </c>
      <c r="AS31" s="1">
        <f t="shared" si="0"/>
        <v>1176.2639999999999</v>
      </c>
    </row>
    <row r="32" spans="1:45" ht="14.25" customHeight="1" x14ac:dyDescent="0.3">
      <c r="A32" s="61">
        <v>45098</v>
      </c>
      <c r="B32" s="68" t="s">
        <v>20</v>
      </c>
      <c r="C32" s="38" t="s">
        <v>145</v>
      </c>
      <c r="D32" s="38">
        <v>60150</v>
      </c>
      <c r="E32" s="38" t="s">
        <v>19</v>
      </c>
      <c r="F32" s="58">
        <v>40.637540000000001</v>
      </c>
      <c r="G32" s="59">
        <v>-79.03631</v>
      </c>
      <c r="H32" s="38" t="s">
        <v>256</v>
      </c>
      <c r="I32" s="38"/>
      <c r="J32" s="69">
        <v>1006</v>
      </c>
      <c r="K32" s="36" t="s">
        <v>172</v>
      </c>
      <c r="L32" s="34">
        <v>7.63</v>
      </c>
      <c r="M32" s="70">
        <v>6.6</v>
      </c>
      <c r="N32" s="33">
        <v>436</v>
      </c>
      <c r="O32" s="38">
        <v>431</v>
      </c>
      <c r="P32" s="38" t="s">
        <v>172</v>
      </c>
      <c r="Q32" s="38" t="s">
        <v>172</v>
      </c>
      <c r="R32" s="37">
        <v>22.2</v>
      </c>
      <c r="S32" s="37">
        <v>-13.6</v>
      </c>
      <c r="T32" s="4" cm="1">
        <f t="array" ref="T32">_xlfn.IFS(L32&lt;=5,IF(ISNUMBER(X32)=TRUE,X32*1.79+AA32*1.8+Z32*5.56+50000*(10^-L32)-R32,1.79+AA32*1.8+Z32*5.56+50000*(10^-L32)-R32),L32&gt;5,IF(ISNUMBER(X32)=TRUE,X32*1.79+AA32*1.8+50000*(10^-L32)-R32,AA32*1.8+50000*(10^-L32)-R32))</f>
        <v>-20.568527885592339</v>
      </c>
      <c r="U32" s="38" t="s">
        <v>172</v>
      </c>
      <c r="V32" s="38" t="s">
        <v>172</v>
      </c>
      <c r="W32" s="36">
        <v>0.53800000000000003</v>
      </c>
      <c r="X32" s="38">
        <v>0.05</v>
      </c>
      <c r="Z32" s="36">
        <v>0.3</v>
      </c>
      <c r="AA32" s="36">
        <v>0.85599999999999998</v>
      </c>
      <c r="AB32" s="36">
        <v>168.71</v>
      </c>
      <c r="AC32" s="38">
        <v>46.4</v>
      </c>
      <c r="AD32" s="38">
        <v>19.850000000000001</v>
      </c>
      <c r="AE32" s="38">
        <v>5.64</v>
      </c>
      <c r="AF32" s="38">
        <v>2.2999999999999998</v>
      </c>
      <c r="AG32" s="38">
        <v>9.4</v>
      </c>
      <c r="AH32" s="38">
        <v>0.05</v>
      </c>
      <c r="AI32" s="38">
        <v>0.03</v>
      </c>
      <c r="AJ32" s="38">
        <v>0.2</v>
      </c>
      <c r="AM32" s="38" t="s">
        <v>172</v>
      </c>
      <c r="AN32" s="33">
        <v>-164.17920000000001</v>
      </c>
      <c r="AO32" s="36">
        <v>6.4947360000000005</v>
      </c>
      <c r="AP32" s="37">
        <v>3.6216000000000004</v>
      </c>
      <c r="AQ32" s="33">
        <v>10.333632</v>
      </c>
      <c r="AR32" s="33">
        <v>2036.6671200000001</v>
      </c>
      <c r="AS32" s="1">
        <f t="shared" si="0"/>
        <v>267.9984</v>
      </c>
    </row>
    <row r="33" spans="1:48" ht="14.25" customHeight="1" x14ac:dyDescent="0.3">
      <c r="A33" s="61">
        <v>45169</v>
      </c>
      <c r="B33" s="68" t="s">
        <v>20</v>
      </c>
      <c r="C33" s="38" t="s">
        <v>145</v>
      </c>
      <c r="D33" s="38">
        <v>60150</v>
      </c>
      <c r="E33" s="38" t="s">
        <v>19</v>
      </c>
      <c r="F33" s="58">
        <v>40.637540000000001</v>
      </c>
      <c r="G33" s="59">
        <v>-79.03631</v>
      </c>
      <c r="H33" s="38" t="s">
        <v>256</v>
      </c>
      <c r="I33" s="38">
        <v>0.11899999999999999</v>
      </c>
      <c r="J33" s="69">
        <v>2135</v>
      </c>
      <c r="K33" s="36" t="s">
        <v>172</v>
      </c>
      <c r="L33" s="34">
        <v>7.24</v>
      </c>
      <c r="M33" s="70">
        <v>6.3</v>
      </c>
      <c r="N33" s="33">
        <v>393</v>
      </c>
      <c r="O33" s="38">
        <v>386</v>
      </c>
      <c r="P33" s="38" t="s">
        <v>172</v>
      </c>
      <c r="Q33" s="38" t="s">
        <v>172</v>
      </c>
      <c r="R33" s="37">
        <v>28.8</v>
      </c>
      <c r="S33" s="37">
        <v>-8.4</v>
      </c>
      <c r="T33" s="4" cm="1">
        <f t="array" ref="T33">_xlfn.IFS(L33&lt;=5,IF(ISNUMBER(X33)=TRUE,X33*1.79+AA33*1.8+Z33*5.56+50000*(10^-L33)-R33,1.79+AA33*1.8+Z33*5.56+50000*(10^-L33)-R33),L33&gt;5,IF(ISNUMBER(X33)=TRUE,X33*1.79+AA33*1.8+50000*(10^-L33)-R33,AA33*1.8+50000*(10^-L33)-R33))</f>
        <v>-27.589822800313314</v>
      </c>
      <c r="U33" s="38" t="s">
        <v>172</v>
      </c>
      <c r="V33" s="38" t="s">
        <v>172</v>
      </c>
      <c r="W33" s="36">
        <v>1.39</v>
      </c>
      <c r="X33" s="38">
        <v>0.05</v>
      </c>
      <c r="Z33" s="36">
        <v>0.3</v>
      </c>
      <c r="AA33" s="36">
        <v>0.621</v>
      </c>
      <c r="AB33" s="36">
        <v>139.51</v>
      </c>
      <c r="AC33" s="38">
        <v>41.8</v>
      </c>
      <c r="AD33" s="38">
        <v>18.399999999999999</v>
      </c>
      <c r="AE33" s="38">
        <v>4.8600000000000003</v>
      </c>
      <c r="AF33" s="38">
        <v>2.14</v>
      </c>
      <c r="AG33" s="38">
        <v>7.7</v>
      </c>
      <c r="AH33" s="38">
        <v>0.05</v>
      </c>
      <c r="AI33" s="38">
        <v>0.03</v>
      </c>
      <c r="AJ33" s="38">
        <v>0.2</v>
      </c>
      <c r="AM33" s="38" t="s">
        <v>172</v>
      </c>
      <c r="AN33" s="33">
        <v>-215.208</v>
      </c>
      <c r="AO33" s="36">
        <v>35.611799999999995</v>
      </c>
      <c r="AP33" s="37">
        <v>7.6859999999999999</v>
      </c>
      <c r="AQ33" s="33">
        <v>15.910020000000001</v>
      </c>
      <c r="AR33" s="33">
        <v>3574.2461999999996</v>
      </c>
      <c r="AS33" s="1">
        <f t="shared" si="0"/>
        <v>737.85599999999999</v>
      </c>
    </row>
    <row r="34" spans="1:48" ht="14.25" customHeight="1" x14ac:dyDescent="0.3">
      <c r="A34" s="61">
        <v>45352</v>
      </c>
      <c r="B34" s="68">
        <v>1</v>
      </c>
      <c r="C34" s="38" t="s">
        <v>145</v>
      </c>
      <c r="D34" s="38">
        <v>60150</v>
      </c>
      <c r="E34" s="38" t="s">
        <v>19</v>
      </c>
      <c r="F34" s="58">
        <v>40.637540000000001</v>
      </c>
      <c r="G34" s="59">
        <v>-79.03631</v>
      </c>
      <c r="H34" s="38" t="s">
        <v>338</v>
      </c>
      <c r="I34" s="38"/>
      <c r="J34" s="69">
        <f>449*18.42</f>
        <v>8270.58</v>
      </c>
      <c r="K34" s="36" t="s">
        <v>96</v>
      </c>
      <c r="L34" s="34">
        <v>6.86</v>
      </c>
      <c r="M34" s="70">
        <v>6.3</v>
      </c>
      <c r="N34" s="33">
        <v>206</v>
      </c>
      <c r="P34" s="38">
        <v>2.9</v>
      </c>
      <c r="R34" s="37">
        <v>24.6</v>
      </c>
      <c r="S34" s="37">
        <v>-10.8</v>
      </c>
      <c r="T34" s="4" cm="1">
        <f t="array" ref="T34">_xlfn.IFS(L34&lt;=5,IF(ISNUMBER(X34)=TRUE,X34*1.79+AA34*1.8+Z34*5.56+50000*(10^-L34)-R34,1.79+AA34*1.8+Z34*5.56+50000*(10^-L34)-R34),L34&gt;5,IF(ISNUMBER(X34)=TRUE,X34*1.79+AA34*1.8+50000*(10^-L34)-R34,AA34*1.8+50000*(10^-L34)-R34))</f>
        <v>-22.699928078676987</v>
      </c>
      <c r="W34" s="36">
        <v>1.3540000000000001</v>
      </c>
      <c r="X34" s="38">
        <v>0.58299999999999996</v>
      </c>
      <c r="Z34" s="84">
        <v>0.5</v>
      </c>
      <c r="AA34" s="36">
        <v>0.47199999999999998</v>
      </c>
      <c r="AB34" s="85">
        <v>64.400000000000006</v>
      </c>
      <c r="AK34" s="38" t="s">
        <v>363</v>
      </c>
      <c r="AL34" s="38">
        <v>152</v>
      </c>
      <c r="AN34" s="1">
        <f>S34*J34*0.012</f>
        <v>-1071.8671680000002</v>
      </c>
      <c r="AO34" s="1">
        <f>W34*J34*0.012</f>
        <v>134.38038384000001</v>
      </c>
      <c r="AP34" s="1">
        <f>Z34*J34*0.012</f>
        <v>49.623480000000001</v>
      </c>
      <c r="AQ34" s="1">
        <f>AA34*J34*0.012</f>
        <v>46.844565119999999</v>
      </c>
      <c r="AR34" s="1">
        <f>AB34*J34*0.012</f>
        <v>6391.5042240000012</v>
      </c>
      <c r="AS34" s="1">
        <f t="shared" si="0"/>
        <v>2441.4752160000003</v>
      </c>
    </row>
    <row r="35" spans="1:48" s="7" customFormat="1" x14ac:dyDescent="0.3">
      <c r="A35" s="45" t="s">
        <v>144</v>
      </c>
      <c r="J35" s="20">
        <f>AVERAGE(J28:J34)</f>
        <v>3532.6542857142858</v>
      </c>
      <c r="K35" s="20" t="e">
        <f t="shared" ref="K35:AS35" si="1">AVERAGE(K28:K34)</f>
        <v>#DIV/0!</v>
      </c>
      <c r="L35" s="20">
        <f t="shared" si="1"/>
        <v>7.1671428571428573</v>
      </c>
      <c r="M35" s="20">
        <f t="shared" si="1"/>
        <v>6.4999999999999991</v>
      </c>
      <c r="N35" s="20">
        <f t="shared" si="1"/>
        <v>342.74285714285713</v>
      </c>
      <c r="O35" s="20">
        <f t="shared" si="1"/>
        <v>365.5</v>
      </c>
      <c r="P35" s="20">
        <f t="shared" si="1"/>
        <v>6.333333333333333</v>
      </c>
      <c r="Q35" s="20">
        <f t="shared" si="1"/>
        <v>22.8125</v>
      </c>
      <c r="R35" s="20">
        <f t="shared" si="1"/>
        <v>25.971428571428568</v>
      </c>
      <c r="S35" s="20">
        <f t="shared" si="1"/>
        <v>-11.285714285714286</v>
      </c>
      <c r="T35" s="20">
        <f t="shared" si="1"/>
        <v>-21.552961788407931</v>
      </c>
      <c r="U35" s="20">
        <f t="shared" si="1"/>
        <v>10.199999999999999</v>
      </c>
      <c r="V35" s="20">
        <f t="shared" si="1"/>
        <v>86.5</v>
      </c>
      <c r="W35" s="20">
        <f t="shared" si="1"/>
        <v>1.3632857142857142</v>
      </c>
      <c r="X35" s="20">
        <f t="shared" si="1"/>
        <v>0.44571428571428573</v>
      </c>
      <c r="Y35" s="20" t="e">
        <f t="shared" si="1"/>
        <v>#DIV/0!</v>
      </c>
      <c r="Z35" s="20">
        <f t="shared" si="1"/>
        <v>0.47000000000000003</v>
      </c>
      <c r="AA35" s="20">
        <f t="shared" si="1"/>
        <v>0.73542857142857143</v>
      </c>
      <c r="AB35" s="20">
        <f t="shared" si="1"/>
        <v>126.71833333333332</v>
      </c>
      <c r="AC35" s="20">
        <f t="shared" si="1"/>
        <v>38.018333333333338</v>
      </c>
      <c r="AD35" s="20">
        <f t="shared" si="1"/>
        <v>16.483333333333334</v>
      </c>
      <c r="AE35" s="20">
        <f t="shared" si="1"/>
        <v>4.9866666666666664</v>
      </c>
      <c r="AF35" s="20">
        <f t="shared" si="1"/>
        <v>1.9650000000000001</v>
      </c>
      <c r="AG35" s="20">
        <f t="shared" si="1"/>
        <v>8.2666666666666675</v>
      </c>
      <c r="AH35" s="20">
        <f t="shared" si="1"/>
        <v>0.05</v>
      </c>
      <c r="AI35" s="20">
        <f t="shared" si="1"/>
        <v>3.5500000000000004E-2</v>
      </c>
      <c r="AJ35" s="20">
        <f t="shared" si="1"/>
        <v>0.2</v>
      </c>
      <c r="AK35" s="20" t="e">
        <f t="shared" si="1"/>
        <v>#DIV/0!</v>
      </c>
      <c r="AL35" s="20">
        <f t="shared" si="1"/>
        <v>152</v>
      </c>
      <c r="AM35" s="20" t="e">
        <f t="shared" si="1"/>
        <v>#DIV/0!</v>
      </c>
      <c r="AN35" s="20">
        <f t="shared" si="1"/>
        <v>-456.20582400000006</v>
      </c>
      <c r="AO35" s="20">
        <f t="shared" si="1"/>
        <v>62.701044548571431</v>
      </c>
      <c r="AP35" s="20">
        <f t="shared" si="1"/>
        <v>24.403699199999998</v>
      </c>
      <c r="AQ35" s="20">
        <f t="shared" si="1"/>
        <v>27.724732731428571</v>
      </c>
      <c r="AR35" s="20">
        <f t="shared" si="1"/>
        <v>4252.9647839999998</v>
      </c>
      <c r="AS35" s="20">
        <f t="shared" si="1"/>
        <v>1071.8771451428572</v>
      </c>
      <c r="AT35" s="20"/>
      <c r="AU35" s="20"/>
      <c r="AV35" s="20"/>
    </row>
    <row r="36" spans="1:48" ht="13.2" customHeight="1" x14ac:dyDescent="0.3">
      <c r="A36" s="6"/>
      <c r="B36" s="6"/>
      <c r="C36" s="38"/>
      <c r="D36" s="38"/>
      <c r="E36" s="38"/>
      <c r="F36" s="38"/>
      <c r="G36" s="38"/>
      <c r="H36" s="38"/>
      <c r="I36" s="38"/>
      <c r="J36" s="60"/>
      <c r="L36" s="34"/>
      <c r="M36" s="41"/>
      <c r="R36" s="40"/>
      <c r="S36" s="40"/>
      <c r="T36" s="40"/>
      <c r="W36" s="8"/>
      <c r="Z36" s="8"/>
      <c r="AA36" s="8"/>
      <c r="AB36" s="40"/>
      <c r="AN36" s="33"/>
      <c r="AS36" s="1"/>
    </row>
    <row r="37" spans="1:48" ht="14.25" customHeight="1" x14ac:dyDescent="0.3">
      <c r="A37" s="61">
        <v>37426</v>
      </c>
      <c r="B37" s="62"/>
      <c r="C37" s="38" t="s">
        <v>207</v>
      </c>
      <c r="D37" s="38"/>
      <c r="E37" s="68" t="s">
        <v>311</v>
      </c>
      <c r="F37" s="59">
        <v>40.63917</v>
      </c>
      <c r="G37" s="59">
        <v>-79.018330000000006</v>
      </c>
      <c r="H37" s="38"/>
      <c r="I37" s="38"/>
      <c r="J37" s="67">
        <v>248</v>
      </c>
      <c r="L37" s="34"/>
      <c r="M37" s="64">
        <v>4.9000000000000004</v>
      </c>
      <c r="R37" s="65">
        <v>10.6</v>
      </c>
      <c r="S37" s="65">
        <v>47.2</v>
      </c>
      <c r="T37" s="65">
        <f>AA37*1.81+Z37*5.56+50000*10^-M37-R37</f>
        <v>1.5846627058970828</v>
      </c>
      <c r="W37" s="66">
        <v>1.18</v>
      </c>
      <c r="Z37" s="66">
        <v>1.31</v>
      </c>
      <c r="AA37" s="66">
        <v>2.36</v>
      </c>
      <c r="AB37" s="65">
        <v>155.30000000000001</v>
      </c>
      <c r="AN37" s="33">
        <f>T37*J37/82.23</f>
        <v>4.7792332611270405</v>
      </c>
      <c r="AQ37" s="33">
        <f t="shared" ref="AQ37:AR41" si="2">AA37*$J37/82.23</f>
        <v>7.117596984069074</v>
      </c>
      <c r="AR37" s="33">
        <f t="shared" si="2"/>
        <v>468.37407272285054</v>
      </c>
      <c r="AS37" s="1">
        <f t="shared" si="0"/>
        <v>31.5456</v>
      </c>
    </row>
    <row r="38" spans="1:48" ht="14.25" customHeight="1" x14ac:dyDescent="0.3">
      <c r="A38" s="61">
        <v>37459</v>
      </c>
      <c r="B38" s="6"/>
      <c r="C38" s="38" t="s">
        <v>207</v>
      </c>
      <c r="D38" s="38"/>
      <c r="E38" s="68" t="s">
        <v>311</v>
      </c>
      <c r="F38" s="59">
        <v>40.63917</v>
      </c>
      <c r="G38" s="59">
        <v>-79.018330000000006</v>
      </c>
      <c r="H38" s="38"/>
      <c r="I38" s="38"/>
      <c r="J38" s="67">
        <v>67</v>
      </c>
      <c r="L38" s="34"/>
      <c r="M38" s="64">
        <v>4</v>
      </c>
      <c r="R38" s="65">
        <v>1.4</v>
      </c>
      <c r="S38" s="65">
        <v>66</v>
      </c>
      <c r="T38" s="65">
        <f>AA38*1.81+Z38*5.56+50000*10^-M38-R38</f>
        <v>36.251300000000001</v>
      </c>
      <c r="W38" s="66">
        <v>1.1100000000000001</v>
      </c>
      <c r="Z38" s="66">
        <v>3.89</v>
      </c>
      <c r="AA38" s="66">
        <v>6.09</v>
      </c>
      <c r="AB38" s="65">
        <v>541.79999999999995</v>
      </c>
      <c r="AN38" s="33">
        <f t="shared" ref="AN38:AN41" si="3">T38*J38/82.23</f>
        <v>29.537116624103128</v>
      </c>
      <c r="AQ38" s="33">
        <f t="shared" si="2"/>
        <v>4.9620576431959131</v>
      </c>
      <c r="AR38" s="33">
        <f t="shared" si="2"/>
        <v>441.45202480846405</v>
      </c>
      <c r="AS38" s="1">
        <f t="shared" si="0"/>
        <v>1.1255999999999999</v>
      </c>
    </row>
    <row r="39" spans="1:48" ht="14.25" customHeight="1" x14ac:dyDescent="0.3">
      <c r="A39" s="61">
        <v>37763</v>
      </c>
      <c r="B39" s="62"/>
      <c r="C39" s="38" t="s">
        <v>207</v>
      </c>
      <c r="D39" s="38"/>
      <c r="E39" s="68" t="s">
        <v>311</v>
      </c>
      <c r="F39" s="59">
        <v>40.63917</v>
      </c>
      <c r="G39" s="59">
        <v>-79.018330000000006</v>
      </c>
      <c r="H39" s="38"/>
      <c r="I39" s="38"/>
      <c r="J39" s="67">
        <v>103.2</v>
      </c>
      <c r="L39" s="34"/>
      <c r="M39" s="64">
        <v>4.0999999999999996</v>
      </c>
      <c r="R39" s="65">
        <v>3.8</v>
      </c>
      <c r="S39" s="65">
        <v>58.4</v>
      </c>
      <c r="T39" s="65">
        <f>AA39*1.81+Z39*5.56+50000*10^-M39-R39</f>
        <v>11.091941173621407</v>
      </c>
      <c r="W39" s="72" t="s">
        <v>315</v>
      </c>
      <c r="Z39" s="66">
        <v>1.1599999999999999</v>
      </c>
      <c r="AA39" s="66">
        <v>2.4700000000000002</v>
      </c>
      <c r="AB39" s="65">
        <v>169.3</v>
      </c>
      <c r="AN39" s="33">
        <f t="shared" si="3"/>
        <v>13.920568273351929</v>
      </c>
      <c r="AQ39" s="33">
        <f t="shared" si="2"/>
        <v>3.0998905508938344</v>
      </c>
      <c r="AR39" s="33">
        <f t="shared" si="2"/>
        <v>212.47427946005109</v>
      </c>
      <c r="AS39" s="1">
        <f t="shared" si="0"/>
        <v>4.7059200000000008</v>
      </c>
    </row>
    <row r="40" spans="1:48" ht="14.25" customHeight="1" x14ac:dyDescent="0.3">
      <c r="A40" s="61">
        <v>37792</v>
      </c>
      <c r="C40" s="38" t="s">
        <v>207</v>
      </c>
      <c r="D40" s="38"/>
      <c r="E40" s="68" t="s">
        <v>311</v>
      </c>
      <c r="F40" s="59">
        <v>40.63917</v>
      </c>
      <c r="G40" s="59">
        <v>-79.018330000000006</v>
      </c>
      <c r="H40" s="38"/>
      <c r="I40" s="38"/>
      <c r="J40" s="67">
        <v>58.3</v>
      </c>
      <c r="L40" s="34"/>
      <c r="M40" s="64">
        <v>4.0999999999999996</v>
      </c>
      <c r="R40" s="65">
        <v>2.6</v>
      </c>
      <c r="S40" s="65">
        <v>53.4</v>
      </c>
      <c r="T40" s="65">
        <f>AA40*1.81+Z40*5.56+50000*10^-M40-R40</f>
        <v>15.80494117362141</v>
      </c>
      <c r="W40" s="72" t="s">
        <v>315</v>
      </c>
      <c r="Z40" s="66">
        <v>1.59</v>
      </c>
      <c r="AA40" s="66">
        <v>3.09</v>
      </c>
      <c r="AB40" s="65">
        <v>229.4</v>
      </c>
      <c r="AN40" s="33">
        <f t="shared" si="3"/>
        <v>11.205497633736204</v>
      </c>
      <c r="AQ40" s="33">
        <f t="shared" si="2"/>
        <v>2.190769792046698</v>
      </c>
      <c r="AR40" s="33">
        <f t="shared" si="2"/>
        <v>162.64161498236652</v>
      </c>
      <c r="AS40" s="1">
        <f t="shared" si="0"/>
        <v>1.8189600000000001</v>
      </c>
    </row>
    <row r="41" spans="1:48" ht="14.25" customHeight="1" x14ac:dyDescent="0.3">
      <c r="A41" s="61">
        <v>37841</v>
      </c>
      <c r="B41" s="62"/>
      <c r="C41" s="38" t="s">
        <v>207</v>
      </c>
      <c r="D41" s="38"/>
      <c r="E41" s="68" t="s">
        <v>311</v>
      </c>
      <c r="F41" s="59">
        <v>40.63917</v>
      </c>
      <c r="G41" s="59">
        <v>-79.018330000000006</v>
      </c>
      <c r="H41" s="38"/>
      <c r="I41" s="38"/>
      <c r="J41" s="67">
        <v>161.69999999999999</v>
      </c>
      <c r="L41" s="34"/>
      <c r="M41" s="64">
        <v>4.5999999999999996</v>
      </c>
      <c r="R41" s="65">
        <v>5.8</v>
      </c>
      <c r="S41" s="65">
        <v>51</v>
      </c>
      <c r="T41" s="65">
        <f>AA41*1.81+Z41*5.56+50000*10^-M41-R41</f>
        <v>6.336143215754789</v>
      </c>
      <c r="W41" s="72" t="s">
        <v>315</v>
      </c>
      <c r="Z41" s="66">
        <v>1.1299999999999999</v>
      </c>
      <c r="AA41" s="66">
        <v>2.54</v>
      </c>
      <c r="AB41" s="65">
        <v>151.5</v>
      </c>
      <c r="AN41" s="33">
        <f t="shared" si="3"/>
        <v>12.459617633315691</v>
      </c>
      <c r="AQ41" s="33">
        <f t="shared" si="2"/>
        <v>4.9947464429040487</v>
      </c>
      <c r="AR41" s="33">
        <f t="shared" si="2"/>
        <v>297.91499452754465</v>
      </c>
      <c r="AS41" s="1">
        <f t="shared" si="0"/>
        <v>11.25432</v>
      </c>
    </row>
    <row r="42" spans="1:48" ht="14.25" customHeight="1" x14ac:dyDescent="0.3">
      <c r="A42" s="61">
        <f>'Chemical Data'!A520</f>
        <v>45022</v>
      </c>
      <c r="B42" s="61" t="str">
        <f>'Chemical Data'!B520</f>
        <v>004</v>
      </c>
      <c r="C42" s="61" t="str">
        <f>'Chemical Data'!C520</f>
        <v>MP14</v>
      </c>
      <c r="D42" s="64"/>
      <c r="E42" s="61" t="str">
        <f>'Chemical Data'!E520</f>
        <v>MP 14 from TMDL</v>
      </c>
      <c r="F42" s="64"/>
      <c r="G42" s="64"/>
      <c r="H42" s="61" t="str">
        <f>'Chemical Data'!H520</f>
        <v>SFU</v>
      </c>
      <c r="I42" s="64"/>
      <c r="J42">
        <f>IF(ISNUMBER('Chemical Data'!J520),'Chemical Data'!J520,"")</f>
        <v>157</v>
      </c>
      <c r="K42" t="str">
        <f>IF(ISNUMBER('Chemical Data'!K520),'Chemical Data'!K520,"")</f>
        <v/>
      </c>
      <c r="L42" s="2">
        <f>IF(ISNUMBER('Chemical Data'!L520),'Chemical Data'!L520,"")</f>
        <v>3.73</v>
      </c>
      <c r="M42" s="2">
        <f>IF(ISNUMBER('Chemical Data'!M520),'Chemical Data'!M520,"")</f>
        <v>4.3</v>
      </c>
      <c r="N42">
        <f>IF(ISNUMBER('Chemical Data'!N520),'Chemical Data'!N520,"")</f>
        <v>334</v>
      </c>
      <c r="O42">
        <f>IF(ISNUMBER('Chemical Data'!O520),'Chemical Data'!O520,"")</f>
        <v>328</v>
      </c>
      <c r="P42" t="str">
        <f>IF(ISNUMBER('Chemical Data'!P520),'Chemical Data'!P520,"")</f>
        <v/>
      </c>
      <c r="Q42">
        <f>IF(ISNUMBER('Chemical Data'!Q520),'Chemical Data'!Q520,"")</f>
        <v>0</v>
      </c>
      <c r="R42">
        <f>IF(ISNUMBER('Chemical Data'!R520),'Chemical Data'!R520,"")</f>
        <v>0</v>
      </c>
      <c r="S42">
        <f>IF(ISNUMBER('Chemical Data'!S520),'Chemical Data'!S520,"")</f>
        <v>13.4</v>
      </c>
      <c r="T42">
        <f>IF(ISNUMBER('Chemical Data'!T520),'Chemical Data'!T520,"")</f>
        <v>16.778135683314339</v>
      </c>
      <c r="U42"/>
      <c r="V42"/>
      <c r="W42" s="3">
        <f>IF(ISNUMBER('Chemical Data'!W520),'Chemical Data'!W520,"")</f>
        <v>0.14000000000000001</v>
      </c>
      <c r="X42" s="3">
        <f>IF(ISNUMBER('Chemical Data'!X520),'Chemical Data'!X520,"")</f>
        <v>0.05</v>
      </c>
      <c r="Y42" s="3"/>
      <c r="Z42" s="3">
        <f>IF(ISNUMBER('Chemical Data'!Z520),'Chemical Data'!Z520,"")</f>
        <v>0.94499999999999995</v>
      </c>
      <c r="AA42" s="3">
        <f>IF(ISNUMBER('Chemical Data'!AA520),'Chemical Data'!AA520,"")</f>
        <v>1.18</v>
      </c>
      <c r="AB42" s="4">
        <f>IF(ISNUMBER('Chemical Data'!AB520),'Chemical Data'!AB520,"")</f>
        <v>141.87</v>
      </c>
      <c r="AC42">
        <f>IF(ISNUMBER('Chemical Data'!AC520),'Chemical Data'!AC520,"")</f>
        <v>25.3</v>
      </c>
      <c r="AD42">
        <f>IF(ISNUMBER('Chemical Data'!AD520),'Chemical Data'!AD520,"")</f>
        <v>17.2</v>
      </c>
      <c r="AE42">
        <f>IF(ISNUMBER('Chemical Data'!AE520),'Chemical Data'!AE520,"")</f>
        <v>0.91</v>
      </c>
      <c r="AF42">
        <f>IF(ISNUMBER('Chemical Data'!AF520),'Chemical Data'!AF520,"")</f>
        <v>1.56</v>
      </c>
      <c r="AG42">
        <f>IF(ISNUMBER('Chemical Data'!AG520),'Chemical Data'!AG520,"")</f>
        <v>4</v>
      </c>
      <c r="AH42">
        <f>IF(ISNUMBER('Chemical Data'!AH520),'Chemical Data'!AH520,"")</f>
        <v>5.3999999999999999E-2</v>
      </c>
      <c r="AI42">
        <f>IF(ISNUMBER('Chemical Data'!AI520),'Chemical Data'!AI520,"")</f>
        <v>9.6000000000000002E-2</v>
      </c>
      <c r="AJ42" t="str">
        <f>IF(ISNUMBER('Chemical Data'!AJ520),'Chemical Data'!AJ520,"")</f>
        <v/>
      </c>
      <c r="AK42"/>
      <c r="AL42"/>
      <c r="AM42" t="str">
        <f>IF(ISNUMBER('Chemical Data'!AM520),'Chemical Data'!AM520,"")</f>
        <v/>
      </c>
      <c r="AN42">
        <f>IF(ISNUMBER('Chemical Data'!AN520),'Chemical Data'!AN520,"")</f>
        <v>25.245600000000003</v>
      </c>
      <c r="AO42">
        <f>IF(ISNUMBER('Chemical Data'!AO520),'Chemical Data'!AO520,"")</f>
        <v>0.26375999999999999</v>
      </c>
      <c r="AP42">
        <f>IF(ISNUMBER('Chemical Data'!AP520),'Chemical Data'!AP520,"")</f>
        <v>1.7803799999999999</v>
      </c>
      <c r="AQ42">
        <f>IF(ISNUMBER('Chemical Data'!AQ520),'Chemical Data'!AQ520,"")</f>
        <v>2.2231199999999998</v>
      </c>
      <c r="AR42">
        <f>IF(ISNUMBER('Chemical Data'!AR520),'Chemical Data'!AR520,"")</f>
        <v>267.28307999999998</v>
      </c>
      <c r="AS42" s="1">
        <f t="shared" si="0"/>
        <v>0</v>
      </c>
    </row>
    <row r="43" spans="1:48" ht="14.25" customHeight="1" x14ac:dyDescent="0.3">
      <c r="A43" s="61">
        <f>'Chemical Data'!A521</f>
        <v>45098</v>
      </c>
      <c r="B43" s="61" t="str">
        <f>'Chemical Data'!B521</f>
        <v>004</v>
      </c>
      <c r="C43" s="61" t="str">
        <f>'Chemical Data'!C521</f>
        <v>MP14</v>
      </c>
      <c r="D43" s="64"/>
      <c r="E43" s="61" t="str">
        <f>'Chemical Data'!E521</f>
        <v>MP 14 from TMDL</v>
      </c>
      <c r="F43" s="64"/>
      <c r="G43" s="64"/>
      <c r="H43" s="61" t="str">
        <f>'Chemical Data'!H521</f>
        <v>SFU</v>
      </c>
      <c r="I43" s="64"/>
      <c r="J43" s="4">
        <f>IF(ISNUMBER('Chemical Data'!J521),'Chemical Data'!J521,"")</f>
        <v>22.15</v>
      </c>
      <c r="K43" s="4" t="str">
        <f>IF(ISNUMBER('Chemical Data'!K521),'Chemical Data'!K521,"")</f>
        <v/>
      </c>
      <c r="L43" s="2">
        <f>IF(ISNUMBER('Chemical Data'!L521),'Chemical Data'!L521,"")</f>
        <v>3.85</v>
      </c>
      <c r="M43" s="2">
        <f>IF(ISNUMBER('Chemical Data'!M521),'Chemical Data'!M521,"")</f>
        <v>4.0999999999999996</v>
      </c>
      <c r="N43" s="4">
        <f>IF(ISNUMBER('Chemical Data'!N521),'Chemical Data'!N521,"")</f>
        <v>503</v>
      </c>
      <c r="O43" s="4">
        <f>IF(ISNUMBER('Chemical Data'!O521),'Chemical Data'!O521,"")</f>
        <v>482</v>
      </c>
      <c r="P43" s="4" t="str">
        <f>IF(ISNUMBER('Chemical Data'!P521),'Chemical Data'!P521,"")</f>
        <v/>
      </c>
      <c r="Q43" s="4" t="str">
        <f>IF(ISNUMBER('Chemical Data'!Q521),'Chemical Data'!Q521,"")</f>
        <v/>
      </c>
      <c r="R43" s="4">
        <f>IF(ISNUMBER('Chemical Data'!R521),'Chemical Data'!R521,"")</f>
        <v>0</v>
      </c>
      <c r="S43" s="4">
        <f>IF(ISNUMBER('Chemical Data'!S521),'Chemical Data'!S521,"")</f>
        <v>17.600000000000001</v>
      </c>
      <c r="T43" s="4">
        <f>IF(ISNUMBER('Chemical Data'!T521),'Chemical Data'!T521,"")</f>
        <v>18.344267723113767</v>
      </c>
      <c r="U43" s="4"/>
      <c r="V43" s="4"/>
      <c r="W43" s="4">
        <f>IF(ISNUMBER('Chemical Data'!W521),'Chemical Data'!W521,"")</f>
        <v>0.1</v>
      </c>
      <c r="X43" s="4">
        <f>IF(ISNUMBER('Chemical Data'!X521),'Chemical Data'!X521,"")</f>
        <v>0.05</v>
      </c>
      <c r="Y43" s="4"/>
      <c r="Z43" s="4">
        <f>IF(ISNUMBER('Chemical Data'!Z521),'Chemical Data'!Z521,"")</f>
        <v>1.3480000000000001</v>
      </c>
      <c r="AA43" s="4">
        <f>IF(ISNUMBER('Chemical Data'!AA521),'Chemical Data'!AA521,"")</f>
        <v>2.0539999999999998</v>
      </c>
      <c r="AB43" s="4">
        <f>IF(ISNUMBER('Chemical Data'!AB521),'Chemical Data'!AB521,"")</f>
        <v>230.32</v>
      </c>
      <c r="AC43" s="4">
        <f>IF(ISNUMBER('Chemical Data'!AC521),'Chemical Data'!AC521,"")</f>
        <v>40.36</v>
      </c>
      <c r="AD43" s="4">
        <f>IF(ISNUMBER('Chemical Data'!AD521),'Chemical Data'!AD521,"")</f>
        <v>28.27</v>
      </c>
      <c r="AE43" s="4">
        <f>IF(ISNUMBER('Chemical Data'!AE521),'Chemical Data'!AE521,"")</f>
        <v>1.24</v>
      </c>
      <c r="AF43" s="4">
        <f>IF(ISNUMBER('Chemical Data'!AF521),'Chemical Data'!AF521,"")</f>
        <v>1.93</v>
      </c>
      <c r="AG43" s="4">
        <f>IF(ISNUMBER('Chemical Data'!AG521),'Chemical Data'!AG521,"")</f>
        <v>4</v>
      </c>
      <c r="AH43" s="4">
        <f>IF(ISNUMBER('Chemical Data'!AH521),'Chemical Data'!AH521,"")</f>
        <v>7.4999999999999997E-2</v>
      </c>
      <c r="AI43" s="4">
        <f>IF(ISNUMBER('Chemical Data'!AI521),'Chemical Data'!AI521,"")</f>
        <v>0.114</v>
      </c>
      <c r="AJ43" s="4">
        <f>IF(ISNUMBER('Chemical Data'!AJ521),'Chemical Data'!AJ521,"")</f>
        <v>0.2</v>
      </c>
      <c r="AK43" s="4"/>
      <c r="AL43" s="4"/>
      <c r="AM43" s="4" t="str">
        <f>IF(ISNUMBER('Chemical Data'!AM521),'Chemical Data'!AM521,"")</f>
        <v/>
      </c>
      <c r="AN43" s="4">
        <f>IF(ISNUMBER('Chemical Data'!AN521),'Chemical Data'!AN521,"")</f>
        <v>4.6780800000000005</v>
      </c>
      <c r="AO43" s="4">
        <f>IF(ISNUMBER('Chemical Data'!AO521),'Chemical Data'!AO521,"")</f>
        <v>2.6579999999999999E-2</v>
      </c>
      <c r="AP43" s="4">
        <f>IF(ISNUMBER('Chemical Data'!AP521),'Chemical Data'!AP521,"")</f>
        <v>0.35829840000000002</v>
      </c>
      <c r="AQ43" s="4">
        <f>IF(ISNUMBER('Chemical Data'!AQ521),'Chemical Data'!AQ521,"")</f>
        <v>0.54595319999999992</v>
      </c>
      <c r="AR43" s="4">
        <f>IF(ISNUMBER('Chemical Data'!AR521),'Chemical Data'!AR521,"")</f>
        <v>61.219055999999995</v>
      </c>
      <c r="AS43" s="1">
        <f t="shared" si="0"/>
        <v>0</v>
      </c>
    </row>
    <row r="44" spans="1:48" ht="14.25" customHeight="1" x14ac:dyDescent="0.3">
      <c r="A44" s="61">
        <f>'Chemical Data'!A522</f>
        <v>45169</v>
      </c>
      <c r="B44" s="61" t="str">
        <f>'Chemical Data'!B522</f>
        <v>004</v>
      </c>
      <c r="C44" s="61" t="str">
        <f>'Chemical Data'!C522</f>
        <v>MP14</v>
      </c>
      <c r="D44" s="64"/>
      <c r="E44" s="61" t="str">
        <f>'Chemical Data'!E522</f>
        <v>MP 14 from TMDL</v>
      </c>
      <c r="F44" s="64"/>
      <c r="G44" s="64"/>
      <c r="H44" s="61" t="str">
        <f>'Chemical Data'!H522</f>
        <v>SFU</v>
      </c>
      <c r="I44" s="73">
        <v>1.0860000000000001</v>
      </c>
      <c r="J44">
        <f>IF(ISNUMBER('Chemical Data'!J522),'Chemical Data'!J522,"")</f>
        <v>67</v>
      </c>
      <c r="K44" t="str">
        <f>IF(ISNUMBER('Chemical Data'!K522),'Chemical Data'!K522,"")</f>
        <v/>
      </c>
      <c r="L44" s="2">
        <f>IF(ISNUMBER('Chemical Data'!L522),'Chemical Data'!L522,"")</f>
        <v>6.95</v>
      </c>
      <c r="M44" s="2">
        <f>IF(ISNUMBER('Chemical Data'!M522),'Chemical Data'!M522,"")</f>
        <v>6.3</v>
      </c>
      <c r="N44">
        <f>IF(ISNUMBER('Chemical Data'!N522),'Chemical Data'!N522,"")</f>
        <v>157</v>
      </c>
      <c r="O44">
        <f>IF(ISNUMBER('Chemical Data'!O522),'Chemical Data'!O522,"")</f>
        <v>152.4</v>
      </c>
      <c r="P44" t="str">
        <f>IF(ISNUMBER('Chemical Data'!P522),'Chemical Data'!P522,"")</f>
        <v/>
      </c>
      <c r="Q44" t="str">
        <f>IF(ISNUMBER('Chemical Data'!Q522),'Chemical Data'!Q522,"")</f>
        <v/>
      </c>
      <c r="R44">
        <f>IF(ISNUMBER('Chemical Data'!R522),'Chemical Data'!R522,"")</f>
        <v>31.4</v>
      </c>
      <c r="S44">
        <f>IF(ISNUMBER('Chemical Data'!S522),'Chemical Data'!S522,"")</f>
        <v>-9.4</v>
      </c>
      <c r="T44">
        <f>IF(ISNUMBER('Chemical Data'!T522),'Chemical Data'!T522,"")</f>
        <v>-30.813489907728489</v>
      </c>
      <c r="U44"/>
      <c r="V44"/>
      <c r="W44" s="3">
        <f>IF(ISNUMBER('Chemical Data'!W522),'Chemical Data'!W522,"")</f>
        <v>0.63600000000000001</v>
      </c>
      <c r="X44" s="3">
        <f>IF(ISNUMBER('Chemical Data'!X522),'Chemical Data'!X522,"")</f>
        <v>0.05</v>
      </c>
      <c r="Y44" s="3"/>
      <c r="Z44" s="3">
        <f>IF(ISNUMBER('Chemical Data'!Z522),'Chemical Data'!Z522,"")</f>
        <v>0.49299999999999999</v>
      </c>
      <c r="AA44" s="3">
        <f>IF(ISNUMBER('Chemical Data'!AA522),'Chemical Data'!AA522,"")</f>
        <v>0.27300000000000002</v>
      </c>
      <c r="AB44" s="4">
        <f>IF(ISNUMBER('Chemical Data'!AB522),'Chemical Data'!AB522,"")</f>
        <v>38.06</v>
      </c>
      <c r="AC44">
        <f>IF(ISNUMBER('Chemical Data'!AC522),'Chemical Data'!AC522,"")</f>
        <v>20.2</v>
      </c>
      <c r="AD44">
        <f>IF(ISNUMBER('Chemical Data'!AD522),'Chemical Data'!AD522,"")</f>
        <v>5.3</v>
      </c>
      <c r="AE44">
        <f>IF(ISNUMBER('Chemical Data'!AE522),'Chemical Data'!AE522,"")</f>
        <v>0.96</v>
      </c>
      <c r="AF44">
        <f>IF(ISNUMBER('Chemical Data'!AF522),'Chemical Data'!AF522,"")</f>
        <v>1.1499999999999999</v>
      </c>
      <c r="AG44">
        <f>IF(ISNUMBER('Chemical Data'!AG522),'Chemical Data'!AG522,"")</f>
        <v>4</v>
      </c>
      <c r="AH44">
        <f>IF(ISNUMBER('Chemical Data'!AH522),'Chemical Data'!AH522,"")</f>
        <v>0.05</v>
      </c>
      <c r="AI44">
        <f>IF(ISNUMBER('Chemical Data'!AI522),'Chemical Data'!AI522,"")</f>
        <v>0.03</v>
      </c>
      <c r="AJ44">
        <f>IF(ISNUMBER('Chemical Data'!AJ522),'Chemical Data'!AJ522,"")</f>
        <v>0.2</v>
      </c>
      <c r="AK44"/>
      <c r="AL44"/>
      <c r="AM44" t="str">
        <f>IF(ISNUMBER('Chemical Data'!AM522),'Chemical Data'!AM522,"")</f>
        <v/>
      </c>
      <c r="AN44">
        <f>IF(ISNUMBER('Chemical Data'!AN522),'Chemical Data'!AN522,"")</f>
        <v>-7.5576000000000008</v>
      </c>
      <c r="AO44">
        <f>IF(ISNUMBER('Chemical Data'!AO522),'Chemical Data'!AO522,"")</f>
        <v>0.51134400000000002</v>
      </c>
      <c r="AP44">
        <f>IF(ISNUMBER('Chemical Data'!AP522),'Chemical Data'!AP522,"")</f>
        <v>0.396372</v>
      </c>
      <c r="AQ44">
        <f>IF(ISNUMBER('Chemical Data'!AQ522),'Chemical Data'!AQ522,"")</f>
        <v>0.21949200000000002</v>
      </c>
      <c r="AR44">
        <f>IF(ISNUMBER('Chemical Data'!AR522),'Chemical Data'!AR522,"")</f>
        <v>30.600239999999999</v>
      </c>
      <c r="AS44" s="1">
        <f t="shared" si="0"/>
        <v>25.2456</v>
      </c>
    </row>
    <row r="45" spans="1:48" ht="14.25" customHeight="1" x14ac:dyDescent="0.3">
      <c r="A45" s="61">
        <v>45352</v>
      </c>
      <c r="B45" s="61"/>
      <c r="C45" s="74" t="s">
        <v>207</v>
      </c>
      <c r="D45" s="74"/>
      <c r="E45" s="74" t="s">
        <v>260</v>
      </c>
      <c r="F45" s="64"/>
      <c r="G45" s="64"/>
      <c r="H45" s="75" t="s">
        <v>338</v>
      </c>
      <c r="I45" s="73"/>
      <c r="J45" s="4">
        <f>0.39*449</f>
        <v>175.11</v>
      </c>
      <c r="K45" t="s">
        <v>96</v>
      </c>
      <c r="L45" s="2">
        <v>4.49</v>
      </c>
      <c r="M45" s="2">
        <v>5.0999999999999996</v>
      </c>
      <c r="N45">
        <v>229</v>
      </c>
      <c r="O45"/>
      <c r="P45">
        <v>4.8</v>
      </c>
      <c r="Q45"/>
      <c r="R45">
        <v>6.6</v>
      </c>
      <c r="S45">
        <v>7.4</v>
      </c>
      <c r="T45" s="4" cm="1">
        <f t="array" ref="T45">_xlfn.IFS(L45&lt;=5,IF(ISNUMBER(X45)=TRUE,X45*1.79+AA45*1.8+Z45*5.56+50000*(10^-L45)-R45,1.79+AA45*1.8+Z45*5.56+50000*(10^-L45)-R45),L45&gt;5,IF(ISNUMBER(X45)=TRUE,X45*1.79+AA45*1.8+50000*(10^-L45)-R45,AA45*1.8+50000*(10^-L45)-R45))</f>
        <v>1.1749782846481391</v>
      </c>
      <c r="U45"/>
      <c r="V45"/>
      <c r="W45" s="3">
        <v>0.46500000000000002</v>
      </c>
      <c r="X45" s="3">
        <v>9.5000000000000001E-2</v>
      </c>
      <c r="Y45" s="3"/>
      <c r="Z45" s="3">
        <v>0.76600000000000001</v>
      </c>
      <c r="AA45" s="3">
        <v>0.96</v>
      </c>
      <c r="AB45" s="4">
        <v>133.19999999999999</v>
      </c>
      <c r="AC45"/>
      <c r="AD45"/>
      <c r="AE45"/>
      <c r="AF45"/>
      <c r="AG45"/>
      <c r="AH45"/>
      <c r="AI45"/>
      <c r="AJ45"/>
      <c r="AK45" t="s">
        <v>363</v>
      </c>
      <c r="AL45">
        <v>180</v>
      </c>
      <c r="AM45"/>
      <c r="AN45" s="1">
        <f>S45*J45*0.012</f>
        <v>15.549768000000002</v>
      </c>
      <c r="AO45" s="1">
        <f>W45*J45*0.012</f>
        <v>0.97711380000000014</v>
      </c>
      <c r="AP45" s="1">
        <f>Z45*J45*0.012</f>
        <v>1.6096111200000003</v>
      </c>
      <c r="AQ45" s="1">
        <f>AA45*J45*0.012</f>
        <v>2.0172672</v>
      </c>
      <c r="AR45" s="1">
        <f>AB45*J45*0.012</f>
        <v>279.895824</v>
      </c>
      <c r="AS45" s="1">
        <f t="shared" si="0"/>
        <v>13.868712</v>
      </c>
    </row>
    <row r="46" spans="1:48" s="7" customFormat="1" x14ac:dyDescent="0.3">
      <c r="A46" s="45" t="s">
        <v>144</v>
      </c>
      <c r="J46" s="20">
        <f>AVERAGE(J42:J45)</f>
        <v>105.315</v>
      </c>
      <c r="K46" s="20" t="e">
        <f t="shared" ref="K46:AS46" si="4">AVERAGE(K42:K45)</f>
        <v>#DIV/0!</v>
      </c>
      <c r="L46" s="20">
        <f t="shared" si="4"/>
        <v>4.7550000000000008</v>
      </c>
      <c r="M46" s="20">
        <f t="shared" si="4"/>
        <v>4.9499999999999993</v>
      </c>
      <c r="N46" s="20">
        <f t="shared" si="4"/>
        <v>305.75</v>
      </c>
      <c r="O46" s="20">
        <f t="shared" si="4"/>
        <v>320.8</v>
      </c>
      <c r="P46" s="20">
        <f t="shared" si="4"/>
        <v>4.8</v>
      </c>
      <c r="Q46" s="20">
        <f t="shared" si="4"/>
        <v>0</v>
      </c>
      <c r="R46" s="20">
        <f t="shared" si="4"/>
        <v>9.5</v>
      </c>
      <c r="S46" s="20">
        <f t="shared" si="4"/>
        <v>7.25</v>
      </c>
      <c r="T46" s="20">
        <f t="shared" si="4"/>
        <v>1.3709729458369391</v>
      </c>
      <c r="U46" s="20"/>
      <c r="V46" s="20"/>
      <c r="W46" s="20">
        <f t="shared" si="4"/>
        <v>0.33524999999999999</v>
      </c>
      <c r="X46" s="20">
        <f t="shared" si="4"/>
        <v>6.1250000000000006E-2</v>
      </c>
      <c r="Y46" s="20"/>
      <c r="Z46" s="20">
        <f t="shared" si="4"/>
        <v>0.88800000000000001</v>
      </c>
      <c r="AA46" s="20">
        <f t="shared" si="4"/>
        <v>1.1167500000000001</v>
      </c>
      <c r="AB46" s="20">
        <f t="shared" si="4"/>
        <v>135.86250000000001</v>
      </c>
      <c r="AC46" s="20">
        <f t="shared" si="4"/>
        <v>28.62</v>
      </c>
      <c r="AD46" s="20">
        <f t="shared" si="4"/>
        <v>16.923333333333332</v>
      </c>
      <c r="AE46" s="20">
        <f t="shared" si="4"/>
        <v>1.0366666666666666</v>
      </c>
      <c r="AF46" s="20">
        <f t="shared" si="4"/>
        <v>1.5466666666666669</v>
      </c>
      <c r="AG46" s="20">
        <f t="shared" si="4"/>
        <v>4</v>
      </c>
      <c r="AH46" s="20">
        <f t="shared" si="4"/>
        <v>5.9666666666666666E-2</v>
      </c>
      <c r="AI46" s="20">
        <f t="shared" si="4"/>
        <v>0.08</v>
      </c>
      <c r="AJ46" s="20">
        <f t="shared" si="4"/>
        <v>0.2</v>
      </c>
      <c r="AK46" s="20" t="e">
        <f t="shared" si="4"/>
        <v>#DIV/0!</v>
      </c>
      <c r="AL46" s="20">
        <f t="shared" si="4"/>
        <v>180</v>
      </c>
      <c r="AM46" s="20"/>
      <c r="AN46" s="20">
        <f t="shared" si="4"/>
        <v>9.478962000000001</v>
      </c>
      <c r="AO46" s="20">
        <f t="shared" si="4"/>
        <v>0.44469945000000005</v>
      </c>
      <c r="AP46" s="20">
        <f t="shared" si="4"/>
        <v>1.0361653799999999</v>
      </c>
      <c r="AQ46" s="20">
        <f t="shared" si="4"/>
        <v>1.2514581</v>
      </c>
      <c r="AR46" s="20">
        <f t="shared" si="4"/>
        <v>159.74955</v>
      </c>
      <c r="AS46" s="20">
        <f t="shared" si="4"/>
        <v>9.7785779999999995</v>
      </c>
      <c r="AT46" s="20"/>
      <c r="AU46" s="20"/>
      <c r="AV46" s="20"/>
    </row>
    <row r="47" spans="1:48" ht="14.25" customHeight="1" x14ac:dyDescent="0.3">
      <c r="A47" s="61"/>
      <c r="B47" s="61"/>
      <c r="C47" s="74"/>
      <c r="D47" s="74"/>
      <c r="E47" s="74"/>
      <c r="F47" s="64"/>
      <c r="G47" s="64"/>
      <c r="H47" s="75"/>
      <c r="I47" s="73"/>
      <c r="J47" s="4"/>
      <c r="K47"/>
      <c r="L47" s="2"/>
      <c r="M47" s="2"/>
      <c r="N47"/>
      <c r="O47"/>
      <c r="P47"/>
      <c r="Q47"/>
      <c r="R47"/>
      <c r="S47"/>
      <c r="T47"/>
      <c r="U47"/>
      <c r="V47"/>
      <c r="W47"/>
      <c r="X47"/>
      <c r="Y47"/>
      <c r="Z47"/>
      <c r="AA47"/>
      <c r="AB47"/>
      <c r="AC47"/>
      <c r="AD47"/>
      <c r="AE47"/>
      <c r="AF47"/>
      <c r="AG47"/>
      <c r="AH47"/>
      <c r="AI47"/>
      <c r="AJ47"/>
      <c r="AK47"/>
      <c r="AL47"/>
      <c r="AM47"/>
      <c r="AN47"/>
      <c r="AO47"/>
      <c r="AP47"/>
      <c r="AQ47"/>
      <c r="AR47"/>
      <c r="AS47" s="1"/>
    </row>
    <row r="48" spans="1:48" ht="14.25" customHeight="1" x14ac:dyDescent="0.3">
      <c r="A48" s="61">
        <v>45352</v>
      </c>
      <c r="B48" s="74">
        <v>16</v>
      </c>
      <c r="C48" s="74" t="s">
        <v>343</v>
      </c>
      <c r="D48" s="74"/>
      <c r="E48" s="82" t="s">
        <v>339</v>
      </c>
      <c r="F48" s="81">
        <v>40.636893999999998</v>
      </c>
      <c r="G48" s="59">
        <v>-79.018150000000006</v>
      </c>
      <c r="H48" s="75" t="s">
        <v>218</v>
      </c>
      <c r="I48" s="73"/>
      <c r="J48" s="4">
        <f>AVERAGE(5.36,6.55,7.17)</f>
        <v>6.3599999999999994</v>
      </c>
      <c r="K48" t="s">
        <v>96</v>
      </c>
      <c r="L48" s="2">
        <v>3.46</v>
      </c>
      <c r="M48" s="2">
        <v>3.8</v>
      </c>
      <c r="N48">
        <v>260</v>
      </c>
      <c r="O48"/>
      <c r="P48">
        <v>2.6</v>
      </c>
      <c r="Q48"/>
      <c r="R48">
        <v>0</v>
      </c>
      <c r="S48">
        <v>19.600000000000001</v>
      </c>
      <c r="T48" s="4" cm="1">
        <f t="array" ref="T48">_xlfn.IFS(L48&lt;=5,IF(ISNUMBER(X48)=TRUE,X48*1.79+AA48*1.8+Z48*5.56+50000*(10^-L48)-R48,1.79+AA48*1.8+Z48*5.56+50000*(10^-L48)-R48),L48&gt;5,IF(ISNUMBER(X48)=TRUE,X48*1.79+AA48*1.8+50000*(10^-L48)-R48,AA48*1.8+50000*(10^-L48)-R48))</f>
        <v>23.915842522626573</v>
      </c>
      <c r="U48"/>
      <c r="V48"/>
      <c r="W48" s="3">
        <v>0.50800000000000001</v>
      </c>
      <c r="X48" s="3">
        <v>0.08</v>
      </c>
      <c r="Y48" s="3"/>
      <c r="Z48" s="86">
        <v>0.5</v>
      </c>
      <c r="AA48" s="3">
        <v>2.0310000000000001</v>
      </c>
      <c r="AB48" s="4">
        <v>100.2</v>
      </c>
      <c r="AC48"/>
      <c r="AD48"/>
      <c r="AE48"/>
      <c r="AF48"/>
      <c r="AG48"/>
      <c r="AH48"/>
      <c r="AI48"/>
      <c r="AJ48"/>
      <c r="AK48" t="s">
        <v>363</v>
      </c>
      <c r="AL48">
        <v>142</v>
      </c>
      <c r="AM48"/>
      <c r="AN48" s="1">
        <f>S48*J48*0.012</f>
        <v>1.4958719999999999</v>
      </c>
      <c r="AO48" s="31">
        <f>W48*J48*0.012</f>
        <v>3.8770560000000003E-2</v>
      </c>
      <c r="AP48" s="31">
        <f>Z48*J48*0.012</f>
        <v>3.8159999999999999E-2</v>
      </c>
      <c r="AQ48" s="1">
        <f>AA48*J48*0.012</f>
        <v>0.15500591999999999</v>
      </c>
      <c r="AR48" s="1">
        <f>AB48*J48*0.012</f>
        <v>7.647263999999999</v>
      </c>
      <c r="AS48" s="1">
        <f t="shared" si="0"/>
        <v>0</v>
      </c>
    </row>
    <row r="49" spans="1:48" ht="14.25" customHeight="1" x14ac:dyDescent="0.3">
      <c r="A49" s="61"/>
      <c r="B49" s="61"/>
      <c r="C49" s="74"/>
      <c r="D49" s="74"/>
      <c r="E49" s="74"/>
      <c r="F49" s="64"/>
      <c r="G49" s="64"/>
      <c r="H49" s="75"/>
      <c r="I49" s="73"/>
      <c r="J49" s="4"/>
      <c r="K49"/>
      <c r="L49" s="2"/>
      <c r="M49" s="2"/>
      <c r="N49"/>
      <c r="O49"/>
      <c r="P49"/>
      <c r="Q49"/>
      <c r="R49"/>
      <c r="S49"/>
      <c r="T49"/>
      <c r="U49"/>
      <c r="V49"/>
      <c r="W49"/>
      <c r="X49"/>
      <c r="Y49"/>
      <c r="Z49"/>
      <c r="AA49"/>
      <c r="AB49"/>
      <c r="AC49"/>
      <c r="AD49"/>
      <c r="AE49"/>
      <c r="AF49"/>
      <c r="AG49"/>
      <c r="AH49"/>
      <c r="AI49"/>
      <c r="AJ49"/>
      <c r="AK49"/>
      <c r="AL49"/>
      <c r="AM49"/>
      <c r="AN49"/>
      <c r="AO49" s="31"/>
      <c r="AP49" s="31"/>
      <c r="AQ49"/>
      <c r="AR49"/>
      <c r="AS49" s="1"/>
    </row>
    <row r="50" spans="1:48" ht="14.25" customHeight="1" x14ac:dyDescent="0.3">
      <c r="A50" s="61">
        <v>45352</v>
      </c>
      <c r="B50" s="74">
        <v>17</v>
      </c>
      <c r="C50" s="74" t="s">
        <v>342</v>
      </c>
      <c r="D50" s="74"/>
      <c r="E50" s="74" t="s">
        <v>340</v>
      </c>
      <c r="F50" s="59">
        <v>40.63561</v>
      </c>
      <c r="G50" s="59">
        <v>-79.014886000000004</v>
      </c>
      <c r="H50" s="75" t="s">
        <v>218</v>
      </c>
      <c r="I50" s="73"/>
      <c r="J50" s="4">
        <f>AVERAGE(6.74,5.47,5.76)</f>
        <v>5.9899999999999993</v>
      </c>
      <c r="K50" t="s">
        <v>96</v>
      </c>
      <c r="L50" s="2">
        <v>3.74</v>
      </c>
      <c r="M50" s="2">
        <v>4</v>
      </c>
      <c r="N50">
        <v>286</v>
      </c>
      <c r="O50"/>
      <c r="P50">
        <v>5.3</v>
      </c>
      <c r="Q50"/>
      <c r="R50">
        <v>1.6</v>
      </c>
      <c r="S50">
        <v>30.8</v>
      </c>
      <c r="T50" s="4" cm="1">
        <f t="array" ref="T50">_xlfn.IFS(L50&lt;=5,IF(ISNUMBER(X50)=TRUE,X50*1.79+AA50*1.8+Z50*5.56+50000*(10^-L50)-R50,1.79+AA50*1.8+Z50*5.56+50000*(10^-L50)-R50),L50&gt;5,IF(ISNUMBER(X50)=TRUE,X50*1.79+AA50*1.8+50000*(10^-L50)-R50,AA50*1.8+50000*(10^-L50)-R50))</f>
        <v>30.8466042930499</v>
      </c>
      <c r="U50"/>
      <c r="V50"/>
      <c r="W50" s="3">
        <v>0.69599999999999995</v>
      </c>
      <c r="X50" s="3">
        <v>0.314</v>
      </c>
      <c r="Y50" s="3"/>
      <c r="Z50" s="3">
        <v>2.6539999999999999</v>
      </c>
      <c r="AA50" s="3">
        <v>4.4610000000000003</v>
      </c>
      <c r="AB50" s="4">
        <v>135.80000000000001</v>
      </c>
      <c r="AC50"/>
      <c r="AD50"/>
      <c r="AE50"/>
      <c r="AF50"/>
      <c r="AG50"/>
      <c r="AH50"/>
      <c r="AI50"/>
      <c r="AJ50"/>
      <c r="AK50" t="s">
        <v>363</v>
      </c>
      <c r="AL50">
        <v>192</v>
      </c>
      <c r="AM50"/>
      <c r="AN50" s="1">
        <f>S50*J50*0.012</f>
        <v>2.2139039999999999</v>
      </c>
      <c r="AO50" s="31">
        <f>W50*J50*0.012</f>
        <v>5.0028479999999986E-2</v>
      </c>
      <c r="AP50" s="31">
        <f>Z50*J50*0.012</f>
        <v>0.19076951999999997</v>
      </c>
      <c r="AQ50" s="1">
        <f>AA50*J50*0.012</f>
        <v>0.32065668000000003</v>
      </c>
      <c r="AR50" s="1">
        <f>AB50*J50*0.012</f>
        <v>9.7613040000000009</v>
      </c>
      <c r="AS50" s="1">
        <f t="shared" si="0"/>
        <v>0.115008</v>
      </c>
    </row>
    <row r="51" spans="1:48" ht="14.25" customHeight="1" x14ac:dyDescent="0.3">
      <c r="A51" s="61"/>
      <c r="B51" s="61"/>
      <c r="C51" s="74"/>
      <c r="D51" s="74"/>
      <c r="E51" s="74"/>
      <c r="F51" s="64"/>
      <c r="G51" s="64"/>
      <c r="H51" s="75"/>
      <c r="I51" s="73"/>
      <c r="J51" s="4"/>
      <c r="K51"/>
      <c r="L51" s="2"/>
      <c r="M51" s="2"/>
      <c r="N51"/>
      <c r="O51"/>
      <c r="P51"/>
      <c r="Q51"/>
      <c r="R51"/>
      <c r="S51"/>
      <c r="T51"/>
      <c r="U51"/>
      <c r="V51"/>
      <c r="W51"/>
      <c r="X51"/>
      <c r="Y51"/>
      <c r="Z51"/>
      <c r="AA51"/>
      <c r="AB51"/>
      <c r="AC51"/>
      <c r="AD51"/>
      <c r="AE51"/>
      <c r="AF51"/>
      <c r="AG51"/>
      <c r="AH51"/>
      <c r="AI51"/>
      <c r="AJ51"/>
      <c r="AK51"/>
      <c r="AL51"/>
      <c r="AM51"/>
      <c r="AN51"/>
      <c r="AO51" s="31"/>
      <c r="AP51" s="31"/>
      <c r="AQ51"/>
      <c r="AR51"/>
      <c r="AS51" s="1"/>
    </row>
    <row r="52" spans="1:48" ht="14.25" customHeight="1" x14ac:dyDescent="0.3">
      <c r="A52" s="61">
        <v>45352</v>
      </c>
      <c r="B52" s="74">
        <v>18</v>
      </c>
      <c r="C52" s="74" t="s">
        <v>341</v>
      </c>
      <c r="D52" s="74"/>
      <c r="E52" s="74" t="s">
        <v>344</v>
      </c>
      <c r="F52" s="58">
        <v>40.635010000000001</v>
      </c>
      <c r="G52" s="58">
        <v>-79.013840000000002</v>
      </c>
      <c r="H52" s="75" t="s">
        <v>218</v>
      </c>
      <c r="I52" s="73"/>
      <c r="J52" s="4">
        <f>AVERAGE(4.85,5.56,5.12)+0.55556</f>
        <v>5.7322266666666666</v>
      </c>
      <c r="K52" t="s">
        <v>96</v>
      </c>
      <c r="L52" s="2">
        <v>2.86</v>
      </c>
      <c r="M52" s="2">
        <v>3</v>
      </c>
      <c r="N52">
        <v>959</v>
      </c>
      <c r="O52"/>
      <c r="P52">
        <v>5.4</v>
      </c>
      <c r="Q52"/>
      <c r="R52">
        <v>0</v>
      </c>
      <c r="S52">
        <v>113</v>
      </c>
      <c r="T52" s="4" cm="1">
        <f t="array" ref="T52">_xlfn.IFS(L52&lt;=5,IF(ISNUMBER(X52)=TRUE,X52*1.79+AA52*1.8+Z52*5.56+50000*(10^-L52)-R52,1.79+AA52*1.8+Z52*5.56+50000*(10^-L52)-R52),L52&gt;5,IF(ISNUMBER(X52)=TRUE,X52*1.79+AA52*1.8+50000*(10^-L52)-R52,AA52*1.8+50000*(10^-L52)-R52))</f>
        <v>115.49403323014421</v>
      </c>
      <c r="U52"/>
      <c r="V52"/>
      <c r="W52" s="3">
        <v>5.7720000000000002</v>
      </c>
      <c r="X52" s="3">
        <v>0.76600000000000001</v>
      </c>
      <c r="Y52" s="3"/>
      <c r="Z52" s="3">
        <v>4.6079999999999997</v>
      </c>
      <c r="AA52" s="3">
        <v>10.824</v>
      </c>
      <c r="AB52" s="4">
        <v>389.2</v>
      </c>
      <c r="AC52"/>
      <c r="AD52"/>
      <c r="AE52"/>
      <c r="AF52"/>
      <c r="AG52"/>
      <c r="AH52"/>
      <c r="AI52"/>
      <c r="AJ52"/>
      <c r="AK52" t="s">
        <v>363</v>
      </c>
      <c r="AL52">
        <v>608</v>
      </c>
      <c r="AM52"/>
      <c r="AN52" s="1">
        <f>S52*J52*0.012</f>
        <v>7.7728993600000003</v>
      </c>
      <c r="AO52" s="31">
        <f>W52*J52*0.012</f>
        <v>0.39703694784000004</v>
      </c>
      <c r="AP52" s="31">
        <f>Z52*J52*0.012</f>
        <v>0.31696920575999998</v>
      </c>
      <c r="AQ52" s="1">
        <f>AA52*J52*0.012</f>
        <v>0.74454745727999994</v>
      </c>
      <c r="AR52" s="1">
        <f>AB52*J52*0.012</f>
        <v>26.771791423999996</v>
      </c>
      <c r="AS52" s="1">
        <f t="shared" si="0"/>
        <v>0</v>
      </c>
    </row>
    <row r="53" spans="1:48" ht="13.2" customHeight="1" x14ac:dyDescent="0.3">
      <c r="A53" s="6"/>
      <c r="B53" s="6"/>
      <c r="C53" s="38"/>
      <c r="D53" s="38"/>
      <c r="E53" s="38"/>
      <c r="F53" s="38"/>
      <c r="G53" s="38"/>
      <c r="H53" s="38"/>
      <c r="I53" s="38"/>
      <c r="J53" s="60"/>
      <c r="L53" s="34"/>
      <c r="M53" s="41"/>
      <c r="R53" s="40"/>
      <c r="S53" s="40"/>
      <c r="T53" s="40"/>
      <c r="W53" s="8"/>
      <c r="Z53" s="8"/>
      <c r="AA53" s="8"/>
      <c r="AB53" s="40"/>
      <c r="AN53" s="33"/>
      <c r="AS53" s="1"/>
    </row>
    <row r="54" spans="1:48" ht="14.25" customHeight="1" x14ac:dyDescent="0.3">
      <c r="A54" s="61">
        <v>37042</v>
      </c>
      <c r="B54" s="62"/>
      <c r="C54" s="38" t="s">
        <v>206</v>
      </c>
      <c r="D54" s="38"/>
      <c r="E54" s="68" t="s">
        <v>312</v>
      </c>
      <c r="F54" s="59">
        <v>40.634720000000002</v>
      </c>
      <c r="G54" s="59">
        <v>-79.013329999999996</v>
      </c>
      <c r="H54" s="38"/>
      <c r="I54" s="38"/>
      <c r="J54" s="63" t="s">
        <v>314</v>
      </c>
      <c r="L54" s="34"/>
      <c r="M54" s="64">
        <v>3.7</v>
      </c>
      <c r="R54" s="65">
        <v>0</v>
      </c>
      <c r="S54" s="65">
        <v>64</v>
      </c>
      <c r="T54" s="65">
        <f t="shared" ref="T54:T60" si="5">AA54*1.81+Z54*5.56+50000*10^-M54-R54</f>
        <v>38.498611574844382</v>
      </c>
      <c r="W54" s="66">
        <v>15</v>
      </c>
      <c r="Z54" s="66">
        <v>2.62</v>
      </c>
      <c r="AA54" s="66">
        <v>7.71</v>
      </c>
      <c r="AB54" s="65">
        <v>242.6</v>
      </c>
      <c r="AN54" s="33"/>
      <c r="AS54" s="1"/>
    </row>
    <row r="55" spans="1:48" ht="14.25" customHeight="1" x14ac:dyDescent="0.3">
      <c r="A55" s="61">
        <v>37071</v>
      </c>
      <c r="B55" s="6"/>
      <c r="C55" s="38" t="s">
        <v>206</v>
      </c>
      <c r="D55" s="38"/>
      <c r="E55" s="68" t="s">
        <v>312</v>
      </c>
      <c r="F55" s="59">
        <v>40.634720000000002</v>
      </c>
      <c r="G55" s="59">
        <v>-79.013329999999996</v>
      </c>
      <c r="H55" s="38"/>
      <c r="I55" s="38"/>
      <c r="J55" s="63" t="s">
        <v>314</v>
      </c>
      <c r="L55" s="34"/>
      <c r="M55" s="64">
        <v>3.7</v>
      </c>
      <c r="R55" s="65">
        <v>0</v>
      </c>
      <c r="S55" s="65">
        <v>112</v>
      </c>
      <c r="T55" s="65">
        <f t="shared" si="5"/>
        <v>43.61711157484438</v>
      </c>
      <c r="W55" s="66">
        <v>20.3</v>
      </c>
      <c r="Z55" s="66">
        <v>2.73</v>
      </c>
      <c r="AA55" s="66">
        <v>10.199999999999999</v>
      </c>
      <c r="AB55" s="65">
        <v>337.8</v>
      </c>
      <c r="AN55" s="33"/>
      <c r="AS55" s="1"/>
    </row>
    <row r="56" spans="1:48" ht="14.25" customHeight="1" x14ac:dyDescent="0.3">
      <c r="A56" s="61">
        <v>37426</v>
      </c>
      <c r="B56" s="62"/>
      <c r="C56" s="38" t="s">
        <v>206</v>
      </c>
      <c r="D56" s="38"/>
      <c r="E56" s="68" t="s">
        <v>316</v>
      </c>
      <c r="F56" s="59">
        <v>40.634720000000002</v>
      </c>
      <c r="G56" s="59">
        <v>-79.013329999999996</v>
      </c>
      <c r="H56" s="38"/>
      <c r="I56" s="38"/>
      <c r="J56" s="67">
        <v>373</v>
      </c>
      <c r="L56" s="34"/>
      <c r="M56" s="64">
        <v>3.6</v>
      </c>
      <c r="R56" s="65">
        <v>0</v>
      </c>
      <c r="S56" s="65">
        <v>97.2</v>
      </c>
      <c r="T56" s="65">
        <f t="shared" si="5"/>
        <v>75.476032157547891</v>
      </c>
      <c r="W56" s="66">
        <v>8.83</v>
      </c>
      <c r="Z56" s="66">
        <v>8.64</v>
      </c>
      <c r="AA56" s="66">
        <v>8.2200000000000006</v>
      </c>
      <c r="AB56" s="65">
        <v>200.3</v>
      </c>
      <c r="AN56" s="33">
        <f>T56*J56/82.23</f>
        <v>342.36361418904733</v>
      </c>
      <c r="AQ56" s="33">
        <f t="shared" ref="AQ56:AR60" si="6">AA56*$J56/82.23</f>
        <v>37.286391827800074</v>
      </c>
      <c r="AR56" s="33">
        <f t="shared" si="6"/>
        <v>908.5722972151284</v>
      </c>
      <c r="AS56" s="1">
        <f t="shared" si="0"/>
        <v>0</v>
      </c>
    </row>
    <row r="57" spans="1:48" ht="14.25" customHeight="1" x14ac:dyDescent="0.3">
      <c r="A57" s="61">
        <v>37459</v>
      </c>
      <c r="C57" s="38" t="s">
        <v>206</v>
      </c>
      <c r="D57" s="38"/>
      <c r="E57" s="68" t="s">
        <v>312</v>
      </c>
      <c r="F57" s="59">
        <v>40.634720000000002</v>
      </c>
      <c r="G57" s="59">
        <v>-79.013329999999996</v>
      </c>
      <c r="H57" s="38"/>
      <c r="I57" s="38"/>
      <c r="J57" s="67">
        <v>22</v>
      </c>
      <c r="L57" s="34"/>
      <c r="M57" s="64">
        <v>3.2</v>
      </c>
      <c r="R57" s="65">
        <v>0</v>
      </c>
      <c r="S57" s="65">
        <v>236</v>
      </c>
      <c r="T57" s="65">
        <f t="shared" si="5"/>
        <v>142.41786722400963</v>
      </c>
      <c r="W57" s="66">
        <v>27.6</v>
      </c>
      <c r="Z57" s="66">
        <v>10.5</v>
      </c>
      <c r="AA57" s="66">
        <v>29</v>
      </c>
      <c r="AB57" s="65">
        <v>500.1</v>
      </c>
      <c r="AN57" s="33">
        <f t="shared" ref="AN57:AN60" si="7">T57*J57/82.23</f>
        <v>38.102797992560035</v>
      </c>
      <c r="AQ57" s="33">
        <f t="shared" si="6"/>
        <v>7.7587255259637598</v>
      </c>
      <c r="AR57" s="33">
        <f t="shared" si="6"/>
        <v>133.79788398394746</v>
      </c>
      <c r="AS57" s="1">
        <f t="shared" si="0"/>
        <v>0</v>
      </c>
    </row>
    <row r="58" spans="1:48" ht="14.25" customHeight="1" x14ac:dyDescent="0.3">
      <c r="A58" s="61">
        <v>37763</v>
      </c>
      <c r="B58" s="62"/>
      <c r="C58" s="38" t="s">
        <v>206</v>
      </c>
      <c r="D58" s="38"/>
      <c r="E58" s="68" t="s">
        <v>316</v>
      </c>
      <c r="F58" s="59">
        <v>40.634720000000002</v>
      </c>
      <c r="G58" s="59">
        <v>-79.013329999999996</v>
      </c>
      <c r="H58" s="38"/>
      <c r="I58" s="38"/>
      <c r="J58" s="67">
        <v>334.4</v>
      </c>
      <c r="L58" s="34"/>
      <c r="M58" s="64">
        <v>4.9000000000000004</v>
      </c>
      <c r="R58" s="65">
        <v>6.6</v>
      </c>
      <c r="S58" s="65">
        <v>58.4</v>
      </c>
      <c r="T58" s="65">
        <f t="shared" si="5"/>
        <v>6.3642627058970831</v>
      </c>
      <c r="W58" s="66">
        <v>3.81</v>
      </c>
      <c r="Z58" s="66">
        <v>1.32</v>
      </c>
      <c r="AA58" s="66">
        <v>2.76</v>
      </c>
      <c r="AB58" s="65">
        <v>80.5</v>
      </c>
      <c r="AN58" s="33">
        <f t="shared" si="7"/>
        <v>25.881180212233787</v>
      </c>
      <c r="AQ58" s="33">
        <f t="shared" si="6"/>
        <v>11.223932871214883</v>
      </c>
      <c r="AR58" s="33">
        <f t="shared" si="6"/>
        <v>327.36470874376744</v>
      </c>
      <c r="AS58" s="1">
        <f t="shared" si="0"/>
        <v>26.484479999999994</v>
      </c>
    </row>
    <row r="59" spans="1:48" ht="14.25" customHeight="1" x14ac:dyDescent="0.3">
      <c r="A59" s="61">
        <v>37792</v>
      </c>
      <c r="C59" s="38" t="s">
        <v>206</v>
      </c>
      <c r="D59" s="38"/>
      <c r="E59" s="68" t="s">
        <v>312</v>
      </c>
      <c r="F59" s="59">
        <v>40.634720000000002</v>
      </c>
      <c r="G59" s="59">
        <v>-79.013329999999996</v>
      </c>
      <c r="H59" s="38"/>
      <c r="I59" s="38"/>
      <c r="J59" s="67">
        <v>67.900000000000006</v>
      </c>
      <c r="L59" s="34"/>
      <c r="M59" s="64">
        <v>4</v>
      </c>
      <c r="R59" s="65">
        <v>1.2</v>
      </c>
      <c r="S59" s="65">
        <v>72.599999999999994</v>
      </c>
      <c r="T59" s="65">
        <f t="shared" si="5"/>
        <v>26.806700000000003</v>
      </c>
      <c r="W59" s="66">
        <v>8.7899999999999991</v>
      </c>
      <c r="Z59" s="66">
        <v>2.2400000000000002</v>
      </c>
      <c r="AA59" s="66">
        <v>5.83</v>
      </c>
      <c r="AB59" s="65">
        <v>189.2</v>
      </c>
      <c r="AN59" s="33">
        <f t="shared" si="7"/>
        <v>22.135168794843736</v>
      </c>
      <c r="AQ59" s="33">
        <f t="shared" si="6"/>
        <v>4.8140216466009971</v>
      </c>
      <c r="AR59" s="33">
        <f t="shared" si="6"/>
        <v>156.2286270217682</v>
      </c>
      <c r="AS59" s="1">
        <f t="shared" si="0"/>
        <v>0.97776000000000007</v>
      </c>
    </row>
    <row r="60" spans="1:48" ht="14.25" customHeight="1" x14ac:dyDescent="0.3">
      <c r="A60" s="61">
        <v>37841</v>
      </c>
      <c r="C60" s="38" t="s">
        <v>206</v>
      </c>
      <c r="D60" s="38"/>
      <c r="E60" s="68" t="s">
        <v>316</v>
      </c>
      <c r="F60" s="59">
        <v>40.634720000000002</v>
      </c>
      <c r="G60" s="59">
        <v>-79.013329999999996</v>
      </c>
      <c r="H60" s="38"/>
      <c r="I60" s="38"/>
      <c r="J60" s="67">
        <v>179.5</v>
      </c>
      <c r="L60" s="34"/>
      <c r="M60" s="64">
        <v>4.3</v>
      </c>
      <c r="R60" s="65">
        <v>4.5999999999999996</v>
      </c>
      <c r="S60" s="65">
        <v>58.4</v>
      </c>
      <c r="T60" s="65">
        <f t="shared" si="5"/>
        <v>20.444736168136366</v>
      </c>
      <c r="W60" s="66">
        <v>7.64</v>
      </c>
      <c r="Z60" s="66">
        <v>2.4</v>
      </c>
      <c r="AA60" s="66">
        <v>5.08</v>
      </c>
      <c r="AB60" s="65">
        <v>150</v>
      </c>
      <c r="AN60" s="33">
        <f t="shared" si="7"/>
        <v>44.62884764903901</v>
      </c>
      <c r="AQ60" s="33">
        <f t="shared" si="6"/>
        <v>11.08914021646601</v>
      </c>
      <c r="AR60" s="33">
        <f t="shared" si="6"/>
        <v>327.43524261218533</v>
      </c>
      <c r="AS60" s="1">
        <f t="shared" si="0"/>
        <v>9.9083999999999985</v>
      </c>
    </row>
    <row r="61" spans="1:48" ht="14.25" customHeight="1" x14ac:dyDescent="0.3">
      <c r="A61" s="61">
        <f>'Chemical Data'!A516</f>
        <v>45022</v>
      </c>
      <c r="B61" s="61" t="str">
        <f>'Chemical Data'!B516</f>
        <v>005</v>
      </c>
      <c r="C61" s="61" t="str">
        <f>'Chemical Data'!C516</f>
        <v>MP13</v>
      </c>
      <c r="D61" s="61"/>
      <c r="E61" s="61" t="str">
        <f>'Chemical Data'!E516</f>
        <v>MP13 from TMDL</v>
      </c>
      <c r="F61" s="61"/>
      <c r="G61" s="61"/>
      <c r="H61" s="61" t="str">
        <f>'Chemical Data'!H516</f>
        <v>SFU</v>
      </c>
      <c r="I61" s="61"/>
      <c r="J61" s="4">
        <f>IF(ISNUMBER('Chemical Data'!J516),'Chemical Data'!J516,"")</f>
        <v>309</v>
      </c>
      <c r="K61" s="4" t="str">
        <f>IF(ISNUMBER('Chemical Data'!K516),'Chemical Data'!K516,"")</f>
        <v/>
      </c>
      <c r="L61" s="2">
        <f>IF(ISNUMBER('Chemical Data'!L516),'Chemical Data'!L516,"")</f>
        <v>5.64</v>
      </c>
      <c r="M61" s="2">
        <f>IF(ISNUMBER('Chemical Data'!M516),'Chemical Data'!M516,"")</f>
        <v>5.7</v>
      </c>
      <c r="N61" s="4">
        <f>IF(ISNUMBER('Chemical Data'!N516),'Chemical Data'!N516,"")</f>
        <v>151</v>
      </c>
      <c r="O61" s="4">
        <f>IF(ISNUMBER('Chemical Data'!O516),'Chemical Data'!O516,"")</f>
        <v>153.9</v>
      </c>
      <c r="P61" s="4" t="str">
        <f>IF(ISNUMBER('Chemical Data'!P516),'Chemical Data'!P516,"")</f>
        <v/>
      </c>
      <c r="Q61" s="4">
        <f>IF(ISNUMBER('Chemical Data'!Q516),'Chemical Data'!Q516,"")</f>
        <v>7</v>
      </c>
      <c r="R61" s="4">
        <f>IF(ISNUMBER('Chemical Data'!R516),'Chemical Data'!R516,"")</f>
        <v>1.8</v>
      </c>
      <c r="S61" s="4">
        <f>IF(ISNUMBER('Chemical Data'!S516),'Chemical Data'!S516,"")</f>
        <v>6.6</v>
      </c>
      <c r="T61" s="4">
        <f>IF(ISNUMBER('Chemical Data'!T516),'Chemical Data'!T516,"")</f>
        <v>-5.0651666173616112</v>
      </c>
      <c r="U61" s="4"/>
      <c r="V61" s="4"/>
      <c r="W61" s="3">
        <f>IF(ISNUMBER('Chemical Data'!W516),'Chemical Data'!W516,"")</f>
        <v>0.63400000000000001</v>
      </c>
      <c r="X61" s="3">
        <f>IF(ISNUMBER('Chemical Data'!X516),'Chemical Data'!X516,"")</f>
        <v>0.13100000000000001</v>
      </c>
      <c r="Y61" s="3"/>
      <c r="Z61" s="3">
        <f>IF(ISNUMBER('Chemical Data'!Z516),'Chemical Data'!Z516,"")</f>
        <v>1.45</v>
      </c>
      <c r="AA61" s="3">
        <f>IF(ISNUMBER('Chemical Data'!AA516),'Chemical Data'!AA516,"")</f>
        <v>0.88100000000000001</v>
      </c>
      <c r="AB61" s="4">
        <f>IF(ISNUMBER('Chemical Data'!AB516),'Chemical Data'!AB516,"")</f>
        <v>58.38</v>
      </c>
      <c r="AC61" s="4">
        <f>IF(ISNUMBER('Chemical Data'!AC516),'Chemical Data'!AC516,"")</f>
        <v>14.9</v>
      </c>
      <c r="AD61" s="4">
        <f>IF(ISNUMBER('Chemical Data'!AD516),'Chemical Data'!AD516,"")</f>
        <v>6.24</v>
      </c>
      <c r="AE61" s="4">
        <f>IF(ISNUMBER('Chemical Data'!AE516),'Chemical Data'!AE516,"")</f>
        <v>0.93</v>
      </c>
      <c r="AF61" s="4">
        <f>IF(ISNUMBER('Chemical Data'!AF516),'Chemical Data'!AF516,"")</f>
        <v>1.1499999999999999</v>
      </c>
      <c r="AG61" s="4">
        <f>IF(ISNUMBER('Chemical Data'!AG516),'Chemical Data'!AG516,"")</f>
        <v>4</v>
      </c>
      <c r="AH61" s="4" t="str">
        <f>IF(ISNUMBER('Chemical Data'!AH516),'Chemical Data'!AH516,"")</f>
        <v/>
      </c>
      <c r="AI61" s="4">
        <f>IF(ISNUMBER('Chemical Data'!AI516),'Chemical Data'!AI516,"")</f>
        <v>7.0000000000000007E-2</v>
      </c>
      <c r="AJ61" s="4" t="str">
        <f>IF(ISNUMBER('Chemical Data'!AJ516),'Chemical Data'!AJ516,"")</f>
        <v/>
      </c>
      <c r="AK61" s="4"/>
      <c r="AL61" s="4"/>
      <c r="AM61" s="4" t="str">
        <f>IF(ISNUMBER('Chemical Data'!AM516),'Chemical Data'!AM516,"")</f>
        <v/>
      </c>
      <c r="AN61" s="4">
        <f>IF(ISNUMBER('Chemical Data'!AN516),'Chemical Data'!AN516,"")</f>
        <v>24.472799999999999</v>
      </c>
      <c r="AO61" s="4">
        <f>IF(ISNUMBER('Chemical Data'!AO516),'Chemical Data'!AO516,"")</f>
        <v>2.3508720000000003</v>
      </c>
      <c r="AP61" s="4">
        <f>IF(ISNUMBER('Chemical Data'!AP516),'Chemical Data'!AP516,"")</f>
        <v>5.3765999999999998</v>
      </c>
      <c r="AQ61" s="4">
        <f>IF(ISNUMBER('Chemical Data'!AQ516),'Chemical Data'!AQ516,"")</f>
        <v>3.2667479999999998</v>
      </c>
      <c r="AR61" s="4">
        <f>IF(ISNUMBER('Chemical Data'!AR516),'Chemical Data'!AR516,"")</f>
        <v>216.47304000000003</v>
      </c>
      <c r="AS61" s="1">
        <f t="shared" si="0"/>
        <v>6.6744000000000003</v>
      </c>
    </row>
    <row r="62" spans="1:48" ht="14.25" customHeight="1" x14ac:dyDescent="0.3">
      <c r="A62" s="61">
        <f>'Chemical Data'!A517</f>
        <v>45098</v>
      </c>
      <c r="B62" s="61" t="str">
        <f>'Chemical Data'!B517</f>
        <v>005</v>
      </c>
      <c r="C62" s="61" t="str">
        <f>'Chemical Data'!C517</f>
        <v>MP13</v>
      </c>
      <c r="D62" s="61"/>
      <c r="E62" s="61" t="str">
        <f>'Chemical Data'!E517</f>
        <v>MP13 from TMDL</v>
      </c>
      <c r="F62" s="61"/>
      <c r="G62" s="61"/>
      <c r="H62" s="61" t="str">
        <f>'Chemical Data'!H517</f>
        <v>SFU</v>
      </c>
      <c r="I62" s="74">
        <v>1.5169999999999999</v>
      </c>
      <c r="J62" s="4">
        <f>IF(ISNUMBER('Chemical Data'!J517),'Chemical Data'!J517,"")</f>
        <v>26.95</v>
      </c>
      <c r="K62" s="4" t="str">
        <f>IF(ISNUMBER('Chemical Data'!K517),'Chemical Data'!K517,"")</f>
        <v/>
      </c>
      <c r="L62" s="2">
        <f>IF(ISNUMBER('Chemical Data'!L517),'Chemical Data'!L517,"")</f>
        <v>7.18</v>
      </c>
      <c r="M62" s="2">
        <f>IF(ISNUMBER('Chemical Data'!M517),'Chemical Data'!M517,"")</f>
        <v>6.8</v>
      </c>
      <c r="N62" s="4">
        <f>IF(ISNUMBER('Chemical Data'!N517),'Chemical Data'!N517,"")</f>
        <v>243.2</v>
      </c>
      <c r="O62" s="4">
        <f>IF(ISNUMBER('Chemical Data'!O517),'Chemical Data'!O517,"")</f>
        <v>243</v>
      </c>
      <c r="P62" s="4" t="str">
        <f>IF(ISNUMBER('Chemical Data'!P517),'Chemical Data'!P517,"")</f>
        <v/>
      </c>
      <c r="Q62" s="4" t="str">
        <f>IF(ISNUMBER('Chemical Data'!Q517),'Chemical Data'!Q517,"")</f>
        <v/>
      </c>
      <c r="R62" s="4">
        <f>IF(ISNUMBER('Chemical Data'!R517),'Chemical Data'!R517,"")</f>
        <v>36.4</v>
      </c>
      <c r="S62" s="4">
        <f>IF(ISNUMBER('Chemical Data'!S517),'Chemical Data'!S517,"")</f>
        <v>-27</v>
      </c>
      <c r="T62" s="4">
        <f>IF(ISNUMBER('Chemical Data'!T517),'Chemical Data'!T517,"")</f>
        <v>-34.696126532759962</v>
      </c>
      <c r="U62" s="4"/>
      <c r="V62" s="4"/>
      <c r="W62" s="3">
        <f>IF(ISNUMBER('Chemical Data'!W517),'Chemical Data'!W517,"")</f>
        <v>1.0840000000000001</v>
      </c>
      <c r="X62" s="3">
        <f>IF(ISNUMBER('Chemical Data'!X517),'Chemical Data'!X517,"")</f>
        <v>0.223</v>
      </c>
      <c r="Y62" s="3"/>
      <c r="Z62" s="3">
        <f>IF(ISNUMBER('Chemical Data'!Z517),'Chemical Data'!Z517,"")</f>
        <v>0.50600000000000001</v>
      </c>
      <c r="AA62" s="3">
        <f>IF(ISNUMBER('Chemical Data'!AA517),'Chemical Data'!AA517,"")</f>
        <v>0.72299999999999998</v>
      </c>
      <c r="AB62" s="4">
        <f>IF(ISNUMBER('Chemical Data'!AB517),'Chemical Data'!AB517,"")</f>
        <v>75.48</v>
      </c>
      <c r="AC62" s="4">
        <f>IF(ISNUMBER('Chemical Data'!AC517),'Chemical Data'!AC517,"")</f>
        <v>29.56</v>
      </c>
      <c r="AD62" s="4">
        <f>IF(ISNUMBER('Chemical Data'!AD517),'Chemical Data'!AD517,"")</f>
        <v>8.85</v>
      </c>
      <c r="AE62" s="4">
        <f>IF(ISNUMBER('Chemical Data'!AE517),'Chemical Data'!AE517,"")</f>
        <v>1.04</v>
      </c>
      <c r="AF62" s="4">
        <f>IF(ISNUMBER('Chemical Data'!AF517),'Chemical Data'!AF517,"")</f>
        <v>1.45</v>
      </c>
      <c r="AG62" s="4">
        <f>IF(ISNUMBER('Chemical Data'!AG517),'Chemical Data'!AG517,"")</f>
        <v>4</v>
      </c>
      <c r="AH62" s="4">
        <f>IF(ISNUMBER('Chemical Data'!AH517),'Chemical Data'!AH517,"")</f>
        <v>0.05</v>
      </c>
      <c r="AI62" s="4">
        <f>IF(ISNUMBER('Chemical Data'!AI517),'Chemical Data'!AI517,"")</f>
        <v>0.03</v>
      </c>
      <c r="AJ62" s="4">
        <f>IF(ISNUMBER('Chemical Data'!AJ517),'Chemical Data'!AJ517,"")</f>
        <v>0.2</v>
      </c>
      <c r="AK62" s="4"/>
      <c r="AL62" s="4"/>
      <c r="AM62" s="4" t="str">
        <f>IF(ISNUMBER('Chemical Data'!AM517),'Chemical Data'!AM517,"")</f>
        <v/>
      </c>
      <c r="AN62" s="4">
        <f>IF(ISNUMBER('Chemical Data'!AN517),'Chemical Data'!AN517,"")</f>
        <v>-8.7317999999999998</v>
      </c>
      <c r="AO62" s="4">
        <f>IF(ISNUMBER('Chemical Data'!AO517),'Chemical Data'!AO517,"")</f>
        <v>0.35056560000000003</v>
      </c>
      <c r="AP62" s="4">
        <f>IF(ISNUMBER('Chemical Data'!AP517),'Chemical Data'!AP517,"")</f>
        <v>0.16364039999999999</v>
      </c>
      <c r="AQ62" s="4">
        <f>IF(ISNUMBER('Chemical Data'!AQ517),'Chemical Data'!AQ517,"")</f>
        <v>0.23381819999999998</v>
      </c>
      <c r="AR62" s="4">
        <f>IF(ISNUMBER('Chemical Data'!AR517),'Chemical Data'!AR517,"")</f>
        <v>24.410232000000001</v>
      </c>
      <c r="AS62" s="1">
        <f t="shared" si="0"/>
        <v>11.77176</v>
      </c>
    </row>
    <row r="63" spans="1:48" ht="14.25" customHeight="1" x14ac:dyDescent="0.3">
      <c r="A63" s="61">
        <v>45352</v>
      </c>
      <c r="B63" s="61"/>
      <c r="C63" s="61" t="s">
        <v>206</v>
      </c>
      <c r="D63" s="61"/>
      <c r="E63" s="61" t="s">
        <v>259</v>
      </c>
      <c r="F63" s="61"/>
      <c r="G63" s="61"/>
      <c r="H63" s="61" t="s">
        <v>218</v>
      </c>
      <c r="I63" s="74"/>
      <c r="J63" s="4">
        <f>449*0.83</f>
        <v>372.66999999999996</v>
      </c>
      <c r="K63" s="4" t="s">
        <v>96</v>
      </c>
      <c r="L63" s="2">
        <v>5.55</v>
      </c>
      <c r="M63" s="2">
        <v>6</v>
      </c>
      <c r="N63" s="4">
        <v>127</v>
      </c>
      <c r="O63" s="4"/>
      <c r="P63" s="3">
        <v>6.2</v>
      </c>
      <c r="Q63" s="4"/>
      <c r="R63" s="4">
        <v>10</v>
      </c>
      <c r="S63" s="4">
        <v>11</v>
      </c>
      <c r="T63" s="4" cm="1">
        <f t="array" ref="T63">_xlfn.IFS(L63&lt;=5,IF(ISNUMBER(X63)=TRUE,X63*1.79+AA63*1.8+Z63*5.56+50000*(10^-L63)-R63,1.79+AA63*1.8+Z63*5.56+50000*(10^-L63)-R63),L63&gt;5,IF(ISNUMBER(X63)=TRUE,X63*1.79+AA63*1.8+50000*(10^-L63)-R63,AA63*1.8+50000*(10^-L63)-R63))</f>
        <v>-5.7885608534367776</v>
      </c>
      <c r="U63" s="4"/>
      <c r="V63" s="4"/>
      <c r="W63" s="3">
        <v>1.7709999999999999</v>
      </c>
      <c r="X63" s="3">
        <v>1.3680000000000001</v>
      </c>
      <c r="Y63" s="3"/>
      <c r="Z63" s="3">
        <v>0.61199999999999999</v>
      </c>
      <c r="AA63" s="3">
        <v>0.90100000000000002</v>
      </c>
      <c r="AB63" s="4">
        <v>51.8</v>
      </c>
      <c r="AC63" s="4"/>
      <c r="AD63" s="4"/>
      <c r="AE63" s="4"/>
      <c r="AF63" s="4"/>
      <c r="AG63" s="4"/>
      <c r="AH63" s="4"/>
      <c r="AI63" s="4"/>
      <c r="AJ63" s="4"/>
      <c r="AK63" s="4" t="s">
        <v>363</v>
      </c>
      <c r="AL63" s="4">
        <v>94</v>
      </c>
      <c r="AM63" s="4"/>
      <c r="AN63" s="1">
        <f>S63*J63*0.012</f>
        <v>49.192439999999998</v>
      </c>
      <c r="AO63" s="1">
        <f>W63*J63*0.012</f>
        <v>7.9199828399999985</v>
      </c>
      <c r="AP63" s="1">
        <f>Z63*J63*0.012</f>
        <v>2.7368884799999997</v>
      </c>
      <c r="AQ63" s="1">
        <f>AA63*J63*0.012</f>
        <v>4.0293080400000001</v>
      </c>
      <c r="AR63" s="1">
        <f>AB63*J63*0.012</f>
        <v>231.65167199999996</v>
      </c>
      <c r="AS63" s="1">
        <f t="shared" si="0"/>
        <v>44.720399999999998</v>
      </c>
    </row>
    <row r="64" spans="1:48" s="7" customFormat="1" x14ac:dyDescent="0.3">
      <c r="A64" s="45" t="s">
        <v>144</v>
      </c>
      <c r="J64" s="20">
        <f>AVERAGE(J61:J63)</f>
        <v>236.20666666666662</v>
      </c>
      <c r="K64" s="20" t="e">
        <f t="shared" ref="K64:AS64" si="8">AVERAGE(K61:K63)</f>
        <v>#DIV/0!</v>
      </c>
      <c r="L64" s="20">
        <f t="shared" si="8"/>
        <v>6.123333333333334</v>
      </c>
      <c r="M64" s="20">
        <f t="shared" si="8"/>
        <v>6.166666666666667</v>
      </c>
      <c r="N64" s="20">
        <f t="shared" si="8"/>
        <v>173.73333333333335</v>
      </c>
      <c r="O64" s="20">
        <f t="shared" si="8"/>
        <v>198.45</v>
      </c>
      <c r="P64" s="20">
        <f t="shared" si="8"/>
        <v>6.2</v>
      </c>
      <c r="Q64" s="20">
        <f t="shared" si="8"/>
        <v>7</v>
      </c>
      <c r="R64" s="20">
        <f>AVERAGE(R61:R63)</f>
        <v>16.066666666666666</v>
      </c>
      <c r="S64" s="20">
        <f t="shared" si="8"/>
        <v>-3.1333333333333329</v>
      </c>
      <c r="T64" s="20">
        <f t="shared" si="8"/>
        <v>-15.183284667852783</v>
      </c>
      <c r="U64" s="20"/>
      <c r="V64" s="20"/>
      <c r="W64" s="30">
        <f t="shared" si="8"/>
        <v>1.163</v>
      </c>
      <c r="X64" s="20">
        <f t="shared" si="8"/>
        <v>0.57399999999999995</v>
      </c>
      <c r="Y64" s="20"/>
      <c r="Z64" s="30">
        <f t="shared" si="8"/>
        <v>0.85599999999999998</v>
      </c>
      <c r="AA64" s="20">
        <f t="shared" si="8"/>
        <v>0.83499999999999996</v>
      </c>
      <c r="AB64" s="20">
        <f t="shared" si="8"/>
        <v>61.886666666666677</v>
      </c>
      <c r="AC64" s="20">
        <f t="shared" si="8"/>
        <v>22.23</v>
      </c>
      <c r="AD64" s="20">
        <f t="shared" si="8"/>
        <v>7.5449999999999999</v>
      </c>
      <c r="AE64" s="20">
        <f t="shared" si="8"/>
        <v>0.9850000000000001</v>
      </c>
      <c r="AF64" s="20">
        <f t="shared" si="8"/>
        <v>1.2999999999999998</v>
      </c>
      <c r="AG64" s="20">
        <f t="shared" si="8"/>
        <v>4</v>
      </c>
      <c r="AH64" s="20">
        <f t="shared" si="8"/>
        <v>0.05</v>
      </c>
      <c r="AI64" s="20">
        <f t="shared" si="8"/>
        <v>0.05</v>
      </c>
      <c r="AJ64" s="20">
        <f t="shared" si="8"/>
        <v>0.2</v>
      </c>
      <c r="AK64" s="20" t="e">
        <f t="shared" si="8"/>
        <v>#DIV/0!</v>
      </c>
      <c r="AL64" s="20">
        <f t="shared" si="8"/>
        <v>94</v>
      </c>
      <c r="AM64" s="20"/>
      <c r="AN64" s="20">
        <f t="shared" si="8"/>
        <v>21.644479999999998</v>
      </c>
      <c r="AO64" s="20">
        <f t="shared" si="8"/>
        <v>3.5404734799999993</v>
      </c>
      <c r="AP64" s="20">
        <f t="shared" si="8"/>
        <v>2.7590429599999999</v>
      </c>
      <c r="AQ64" s="20">
        <f t="shared" si="8"/>
        <v>2.5099580800000001</v>
      </c>
      <c r="AR64" s="20">
        <f t="shared" si="8"/>
        <v>157.51164800000001</v>
      </c>
      <c r="AS64" s="20">
        <f t="shared" si="8"/>
        <v>21.055519999999998</v>
      </c>
      <c r="AT64" s="20"/>
      <c r="AU64" s="20"/>
      <c r="AV64" s="20"/>
    </row>
    <row r="65" spans="1:45" ht="14.25" customHeight="1" x14ac:dyDescent="0.3">
      <c r="A65" s="61"/>
      <c r="B65" s="61"/>
      <c r="C65" s="61"/>
      <c r="D65" s="61"/>
      <c r="E65" s="61"/>
      <c r="F65" s="61"/>
      <c r="G65" s="61"/>
      <c r="H65" s="61"/>
      <c r="I65" s="74"/>
      <c r="J65" s="4"/>
      <c r="K65" s="4"/>
      <c r="L65" s="2"/>
      <c r="M65" s="2"/>
      <c r="N65" s="4"/>
      <c r="O65" s="4"/>
      <c r="P65" s="3"/>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1"/>
    </row>
    <row r="66" spans="1:45" ht="14.25" customHeight="1" x14ac:dyDescent="0.3">
      <c r="A66" s="61">
        <v>45352</v>
      </c>
      <c r="B66" s="61"/>
      <c r="C66" s="61" t="s">
        <v>345</v>
      </c>
      <c r="D66" s="61"/>
      <c r="E66" s="61" t="s">
        <v>346</v>
      </c>
      <c r="F66" s="61"/>
      <c r="G66" s="61"/>
      <c r="H66" s="61" t="s">
        <v>338</v>
      </c>
      <c r="I66" s="74"/>
      <c r="J66" s="87">
        <f>449*12.69</f>
        <v>5697.8099999999995</v>
      </c>
      <c r="K66" s="4" t="s">
        <v>96</v>
      </c>
      <c r="L66" s="2"/>
      <c r="M66" s="2">
        <v>6.3</v>
      </c>
      <c r="N66" s="4"/>
      <c r="O66" s="4"/>
      <c r="P66" s="3"/>
      <c r="Q66" s="4"/>
      <c r="R66" s="4">
        <v>27.6</v>
      </c>
      <c r="S66" s="4">
        <v>-13.4</v>
      </c>
      <c r="T66" s="4" cm="1">
        <f t="array" ref="T66">_xlfn.IFS(M66&lt;=5,IF(ISNUMBER(X66)=TRUE,X66*1.79+AA66*1.8+Z66*5.56+50000*(10^-M66)-R66,1.79+AA66*1.8+Z66*5.56+50000*(10^-M66)-R66),M66&gt;5,IF(ISNUMBER(X66)=TRUE,X66*1.79+AA66*1.8+50000*(10^-M66)-R66,AA66*1.8+50000*(10^-M66)-R66))</f>
        <v>-24.394960638318636</v>
      </c>
      <c r="U66" s="4"/>
      <c r="V66" s="4"/>
      <c r="W66" s="3">
        <v>2.02</v>
      </c>
      <c r="X66" s="3">
        <v>1.3220000000000001</v>
      </c>
      <c r="Y66" s="3"/>
      <c r="Z66" s="3">
        <v>0.56699999999999995</v>
      </c>
      <c r="AA66" s="52">
        <v>0.45200000000000001</v>
      </c>
      <c r="AB66" s="4">
        <v>65.8</v>
      </c>
      <c r="AC66" s="4"/>
      <c r="AD66" s="4"/>
      <c r="AE66" s="4"/>
      <c r="AF66" s="4"/>
      <c r="AG66" s="4"/>
      <c r="AH66" s="4"/>
      <c r="AI66" s="4"/>
      <c r="AJ66" s="4"/>
      <c r="AK66" s="4" t="s">
        <v>363</v>
      </c>
      <c r="AL66" s="4">
        <v>158</v>
      </c>
      <c r="AM66" s="4"/>
      <c r="AN66" s="1">
        <f>S66*J66*0.012</f>
        <v>-916.20784800000001</v>
      </c>
      <c r="AO66" s="1">
        <f>W66*J66*0.012</f>
        <v>138.1149144</v>
      </c>
      <c r="AP66" s="1">
        <f>Z66*J66*0.012</f>
        <v>38.767899239999991</v>
      </c>
      <c r="AQ66" s="1">
        <f>AA66*J66*0.012</f>
        <v>30.904921439999999</v>
      </c>
      <c r="AR66" s="1">
        <f>AB66*J66*0.012</f>
        <v>4498.9907759999996</v>
      </c>
      <c r="AS66" s="1">
        <f t="shared" si="0"/>
        <v>1887.1146719999999</v>
      </c>
    </row>
    <row r="67" spans="1:45" ht="14.25" customHeight="1" x14ac:dyDescent="0.3">
      <c r="A67" s="61">
        <v>45366</v>
      </c>
      <c r="B67" s="74">
        <v>6</v>
      </c>
      <c r="C67" s="61" t="s">
        <v>345</v>
      </c>
      <c r="D67" s="61"/>
      <c r="E67" s="61" t="s">
        <v>346</v>
      </c>
      <c r="F67" s="61"/>
      <c r="G67" s="61"/>
      <c r="H67" s="61" t="s">
        <v>338</v>
      </c>
      <c r="I67" s="74"/>
      <c r="J67" s="87">
        <v>6854</v>
      </c>
      <c r="K67" s="4" t="s">
        <v>96</v>
      </c>
      <c r="L67" s="2">
        <v>6.58</v>
      </c>
      <c r="M67" s="2">
        <v>6.4</v>
      </c>
      <c r="N67" s="4">
        <v>269</v>
      </c>
      <c r="O67" s="4"/>
      <c r="P67" s="3"/>
      <c r="Q67" s="4"/>
      <c r="R67" s="4">
        <v>34.4</v>
      </c>
      <c r="S67" s="4">
        <v>-9.6</v>
      </c>
      <c r="T67" s="4" cm="1">
        <f t="array" ref="T67">_xlfn.IFS(L67&lt;=5,IF(ISNUMBER(X67)=TRUE,X67*1.79+AA67*1.8+Z67*5.56+50000*(10^-L67)-R67,1.79+AA67*1.8+Z67*5.56+50000*(10^-L67)-R67),L67&gt;5,IF(ISNUMBER(X67)=TRUE,X67*1.79+AA67*1.8+50000*(10^-L67)-R67,AA67*1.8+50000*(10^-L67)-R67))</f>
        <v>-31.332748660040522</v>
      </c>
      <c r="U67" s="4"/>
      <c r="V67" s="4"/>
      <c r="W67" s="3">
        <v>2.5019999999999998</v>
      </c>
      <c r="X67" s="3">
        <v>1.1299999999999999</v>
      </c>
      <c r="Y67" s="3"/>
      <c r="Z67" s="3">
        <v>1.3049999999999999</v>
      </c>
      <c r="AA67" s="3">
        <v>0.57299999999999995</v>
      </c>
      <c r="AB67" s="4">
        <v>78.8</v>
      </c>
      <c r="AC67" s="4"/>
      <c r="AD67" s="4"/>
      <c r="AE67" s="4"/>
      <c r="AF67" s="4"/>
      <c r="AG67" s="4"/>
      <c r="AH67" s="4"/>
      <c r="AI67" s="4"/>
      <c r="AJ67" s="4"/>
      <c r="AK67" s="4">
        <v>27</v>
      </c>
      <c r="AL67" s="4">
        <v>162</v>
      </c>
      <c r="AM67" s="4"/>
      <c r="AN67" s="1">
        <f>S67*J67*0.012</f>
        <v>-789.58079999999995</v>
      </c>
      <c r="AO67" s="1">
        <f>W67*J67*0.012</f>
        <v>205.78449599999999</v>
      </c>
      <c r="AP67" s="1">
        <f>Z67*J67*0.012</f>
        <v>107.33363999999999</v>
      </c>
      <c r="AQ67" s="1">
        <f>AA67*J67*0.012</f>
        <v>47.128103999999993</v>
      </c>
      <c r="AR67" s="1">
        <f>AB67*J67*0.012</f>
        <v>6481.1423999999997</v>
      </c>
      <c r="AS67" s="1">
        <f t="shared" ref="AS67:AS73" si="9">0.012*J67*R67</f>
        <v>2829.3312000000001</v>
      </c>
    </row>
    <row r="68" spans="1:45" ht="14.25" customHeight="1" x14ac:dyDescent="0.3">
      <c r="A68" s="61">
        <v>45527</v>
      </c>
      <c r="B68" s="74"/>
      <c r="C68" s="61" t="s">
        <v>345</v>
      </c>
      <c r="D68" s="61"/>
      <c r="E68" s="61" t="s">
        <v>346</v>
      </c>
      <c r="F68" s="61"/>
      <c r="G68" s="61"/>
      <c r="H68" s="61" t="s">
        <v>338</v>
      </c>
      <c r="I68" s="74"/>
      <c r="J68" s="87">
        <f>449*2.86</f>
        <v>1284.1399999999999</v>
      </c>
      <c r="K68" s="4" t="s">
        <v>96</v>
      </c>
      <c r="L68" s="2">
        <v>6.64</v>
      </c>
      <c r="M68" s="2">
        <v>6.3</v>
      </c>
      <c r="N68" s="4">
        <v>519</v>
      </c>
      <c r="O68" s="4"/>
      <c r="P68" s="3">
        <v>13.5</v>
      </c>
      <c r="Q68" s="4">
        <v>33</v>
      </c>
      <c r="R68" s="4">
        <v>31</v>
      </c>
      <c r="S68" s="4">
        <v>-12.6</v>
      </c>
      <c r="T68" s="4" cm="1">
        <f t="array" ref="T68">_xlfn.IFS(L68&lt;=5,IF(ISNUMBER(X68)=TRUE,X68*1.79+AA68*1.8+Z68*5.56+50000*(10^-L68)-Q68,1.79+AA68*1.8+Z68*5.56+50000*(10^-L68)-Q68),L68&gt;5,IF(ISNUMBER(X68)=TRUE,X68*1.79+AA68*1.8+50000*(10^-L68)-Q68,AA68*1.8+50000*(10^-L68)-Q68))</f>
        <v>-21.322725661736161</v>
      </c>
      <c r="U68" s="4"/>
      <c r="V68" s="4"/>
      <c r="W68" s="3">
        <v>7.1840000000000002</v>
      </c>
      <c r="X68" s="3">
        <v>5.0380000000000003</v>
      </c>
      <c r="Z68" s="3">
        <v>1.014</v>
      </c>
      <c r="AA68" s="3">
        <v>1.4710000000000001</v>
      </c>
      <c r="AB68" s="4">
        <v>201.6</v>
      </c>
      <c r="AC68" s="4"/>
      <c r="AD68" s="4"/>
      <c r="AE68" s="4"/>
      <c r="AF68" s="4"/>
      <c r="AG68" s="4"/>
      <c r="AH68" s="4"/>
      <c r="AI68" s="4"/>
      <c r="AJ68" s="4"/>
      <c r="AK68" s="4" t="s">
        <v>363</v>
      </c>
      <c r="AL68" s="4">
        <v>352</v>
      </c>
      <c r="AM68" s="4"/>
      <c r="AN68" s="1">
        <f>S68*J68*0.012</f>
        <v>-194.16196799999997</v>
      </c>
      <c r="AO68" s="1">
        <f>W68*J68*0.012</f>
        <v>110.70314112</v>
      </c>
      <c r="AP68" s="1">
        <f>Z68*J68*0.012</f>
        <v>15.625415519999999</v>
      </c>
      <c r="AQ68" s="1">
        <f>AA68*J68*0.012</f>
        <v>22.66763928</v>
      </c>
      <c r="AR68" s="1">
        <f>AB68*J68*0.012</f>
        <v>3106.5914879999996</v>
      </c>
      <c r="AS68" s="1">
        <f t="shared" ref="AS68" si="10">0.012*J68*R68</f>
        <v>477.70007999999996</v>
      </c>
    </row>
    <row r="69" spans="1:45" s="104" customFormat="1" ht="14.25" customHeight="1" x14ac:dyDescent="0.3">
      <c r="A69" s="45" t="s">
        <v>144</v>
      </c>
      <c r="B69" s="103"/>
      <c r="C69" s="102"/>
      <c r="D69" s="102"/>
      <c r="E69" s="102"/>
      <c r="F69" s="102"/>
      <c r="G69" s="102"/>
      <c r="H69" s="102"/>
      <c r="I69" s="103"/>
      <c r="J69" s="57">
        <f>AVERAGE(J66:J68)</f>
        <v>4611.9833333333327</v>
      </c>
      <c r="K69" s="19" t="e">
        <f t="shared" ref="K69:AS69" si="11">AVERAGE(K66:K68)</f>
        <v>#DIV/0!</v>
      </c>
      <c r="L69" s="15">
        <f>AVERAGE(L66:L68)</f>
        <v>6.6099999999999994</v>
      </c>
      <c r="M69" s="15">
        <f>AVERAGE(M66:M68)</f>
        <v>6.333333333333333</v>
      </c>
      <c r="N69" s="19">
        <f t="shared" si="11"/>
        <v>394</v>
      </c>
      <c r="O69" s="19"/>
      <c r="P69" s="19">
        <f t="shared" si="11"/>
        <v>13.5</v>
      </c>
      <c r="Q69" s="19">
        <f t="shared" si="11"/>
        <v>33</v>
      </c>
      <c r="R69" s="19">
        <f>AVERAGE(R66:R68)</f>
        <v>31</v>
      </c>
      <c r="S69" s="19">
        <f>AVERAGE(S66:S68)</f>
        <v>-11.866666666666667</v>
      </c>
      <c r="T69" s="19">
        <f>AVERAGE(T66:T68)</f>
        <v>-25.683478320031771</v>
      </c>
      <c r="U69" s="19"/>
      <c r="V69" s="19"/>
      <c r="W69" s="32">
        <f>AVERAGE(W66:W68)</f>
        <v>3.9019999999999997</v>
      </c>
      <c r="X69" s="32">
        <f>AVERAGE(X66:X68)</f>
        <v>2.4966666666666666</v>
      </c>
      <c r="Y69" s="19"/>
      <c r="Z69" s="32">
        <f>AVERAGE(Z66:Z68)</f>
        <v>0.96200000000000008</v>
      </c>
      <c r="AA69" s="19">
        <f>AVERAGE(AA66:AA68)</f>
        <v>0.83199999999999996</v>
      </c>
      <c r="AB69" s="19">
        <f>AVERAGE(AB66:AB68)</f>
        <v>115.39999999999999</v>
      </c>
      <c r="AC69" s="19"/>
      <c r="AD69" s="19"/>
      <c r="AE69" s="19"/>
      <c r="AF69" s="19"/>
      <c r="AG69" s="19"/>
      <c r="AH69" s="19"/>
      <c r="AI69" s="19"/>
      <c r="AJ69" s="19"/>
      <c r="AK69" s="19">
        <f t="shared" si="11"/>
        <v>27</v>
      </c>
      <c r="AL69" s="19">
        <f>AVERAGE(AL66:AL68)</f>
        <v>224</v>
      </c>
      <c r="AM69" s="19"/>
      <c r="AN69" s="19">
        <f t="shared" si="11"/>
        <v>-633.31687199999999</v>
      </c>
      <c r="AO69" s="19">
        <f t="shared" si="11"/>
        <v>151.53418384</v>
      </c>
      <c r="AP69" s="19">
        <f t="shared" si="11"/>
        <v>53.908984919999988</v>
      </c>
      <c r="AQ69" s="19">
        <f t="shared" si="11"/>
        <v>33.566888239999997</v>
      </c>
      <c r="AR69" s="19">
        <f t="shared" si="11"/>
        <v>4695.5748880000001</v>
      </c>
      <c r="AS69" s="19">
        <f t="shared" si="11"/>
        <v>1731.3819839999999</v>
      </c>
    </row>
    <row r="70" spans="1:45" ht="14.25" customHeight="1" x14ac:dyDescent="0.3">
      <c r="A70" s="61"/>
      <c r="B70" s="61"/>
      <c r="C70" s="61"/>
      <c r="D70" s="61"/>
      <c r="E70" s="61"/>
      <c r="F70" s="61"/>
      <c r="G70" s="61"/>
      <c r="H70" s="61"/>
      <c r="I70" s="74"/>
      <c r="J70" s="4"/>
      <c r="K70" s="4"/>
      <c r="L70" s="2"/>
      <c r="N70" s="4"/>
      <c r="O70" s="4"/>
      <c r="P70" s="3"/>
      <c r="Q70" s="4"/>
      <c r="T70" s="4"/>
      <c r="U70" s="4"/>
      <c r="V70" s="4"/>
      <c r="AB70" s="4"/>
      <c r="AC70" s="4"/>
      <c r="AD70" s="4"/>
      <c r="AE70" s="4"/>
      <c r="AF70" s="4"/>
      <c r="AG70" s="4"/>
      <c r="AH70" s="4"/>
      <c r="AI70" s="4"/>
      <c r="AJ70" s="4"/>
      <c r="AL70" s="4"/>
      <c r="AM70" s="4"/>
      <c r="AN70" s="4"/>
      <c r="AO70" s="4"/>
      <c r="AP70" s="4"/>
      <c r="AQ70" s="4"/>
      <c r="AR70" s="4"/>
      <c r="AS70" s="1"/>
    </row>
    <row r="71" spans="1:45" ht="14.25" customHeight="1" x14ac:dyDescent="0.3">
      <c r="A71" s="61">
        <v>45352</v>
      </c>
      <c r="B71" s="74">
        <v>19</v>
      </c>
      <c r="C71" s="61" t="s">
        <v>347</v>
      </c>
      <c r="D71" s="61"/>
      <c r="E71" s="61" t="s">
        <v>348</v>
      </c>
      <c r="F71" s="58">
        <v>40.635280000000002</v>
      </c>
      <c r="G71" s="58">
        <v>-79.012320000000003</v>
      </c>
      <c r="H71" s="61" t="s">
        <v>338</v>
      </c>
      <c r="I71" s="74"/>
      <c r="J71" s="4">
        <f>AVERAGE(5.45,4.12,3.98)</f>
        <v>4.5166666666666666</v>
      </c>
      <c r="K71" s="4" t="s">
        <v>96</v>
      </c>
      <c r="L71" s="2">
        <v>5.01</v>
      </c>
      <c r="M71" s="2">
        <v>4.5</v>
      </c>
      <c r="N71" s="4">
        <v>278</v>
      </c>
      <c r="O71" s="4"/>
      <c r="P71" s="3">
        <v>6.1</v>
      </c>
      <c r="Q71" s="4"/>
      <c r="R71" s="4">
        <v>5</v>
      </c>
      <c r="S71" s="4">
        <v>11</v>
      </c>
      <c r="T71" s="4" cm="1">
        <f t="array" ref="T71">_xlfn.IFS(L71&lt;=5,IF(ISNUMBER(X71)=TRUE,X71*1.79+AA71*1.8+Z71*5.56+50000*(10^-L71)-R71,1.79+AA71*1.8+Z71*5.56+50000*(10^-L71)-R71),L71&gt;5,IF(ISNUMBER(X71)=TRUE,X71*1.79+AA71*1.8+50000*(10^-L71)-R71,AA71*1.8+50000*(10^-L71)-R71))</f>
        <v>0.63266861047790535</v>
      </c>
      <c r="U71" s="4"/>
      <c r="V71" s="4"/>
      <c r="W71" s="3">
        <v>0.52</v>
      </c>
      <c r="X71" s="3">
        <v>0.39500000000000002</v>
      </c>
      <c r="Y71" s="3"/>
      <c r="Z71" s="3">
        <v>0.80600000000000005</v>
      </c>
      <c r="AA71" s="3">
        <v>2.4649999999999999</v>
      </c>
      <c r="AB71" s="4">
        <v>143.5</v>
      </c>
      <c r="AC71" s="4"/>
      <c r="AD71" s="4"/>
      <c r="AE71" s="4"/>
      <c r="AF71" s="4"/>
      <c r="AG71" s="4"/>
      <c r="AH71" s="4"/>
      <c r="AI71" s="4"/>
      <c r="AJ71" s="4"/>
      <c r="AK71" s="4" t="s">
        <v>363</v>
      </c>
      <c r="AL71" s="4">
        <v>218</v>
      </c>
      <c r="AM71" s="4"/>
      <c r="AN71" s="1">
        <f>S71*J71*0.012</f>
        <v>0.59619999999999995</v>
      </c>
      <c r="AO71" s="1">
        <f>W71*J71*0.012</f>
        <v>2.8184000000000004E-2</v>
      </c>
      <c r="AP71" s="1">
        <f>Z71*J71*0.012</f>
        <v>4.3685200000000007E-2</v>
      </c>
      <c r="AQ71" s="1">
        <f>AA71*J71*0.012</f>
        <v>0.133603</v>
      </c>
      <c r="AR71" s="1">
        <f>AB71*J71*0.012</f>
        <v>7.7777000000000003</v>
      </c>
      <c r="AS71" s="1">
        <f t="shared" si="9"/>
        <v>0.27100000000000002</v>
      </c>
    </row>
    <row r="72" spans="1:45" ht="14.25" customHeight="1" x14ac:dyDescent="0.3">
      <c r="A72" s="61"/>
      <c r="B72" s="74"/>
      <c r="C72" s="61"/>
      <c r="D72" s="61"/>
      <c r="E72" s="61"/>
      <c r="F72" s="58"/>
      <c r="G72" s="58"/>
      <c r="H72" s="61"/>
      <c r="I72" s="74"/>
      <c r="J72" s="4"/>
      <c r="K72" s="4"/>
      <c r="L72" s="2"/>
      <c r="M72" s="2"/>
      <c r="N72" s="4"/>
      <c r="O72" s="4"/>
      <c r="P72" s="3"/>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1"/>
    </row>
    <row r="73" spans="1:45" ht="14.25" customHeight="1" x14ac:dyDescent="0.3">
      <c r="A73" s="61">
        <v>45352</v>
      </c>
      <c r="B73" s="74"/>
      <c r="C73" s="61"/>
      <c r="D73" s="61"/>
      <c r="E73" s="61" t="s">
        <v>351</v>
      </c>
      <c r="F73" s="58"/>
      <c r="G73" s="58"/>
      <c r="H73" s="61" t="s">
        <v>338</v>
      </c>
      <c r="I73" s="74"/>
      <c r="J73" s="4">
        <v>25</v>
      </c>
      <c r="K73" s="4" t="s">
        <v>106</v>
      </c>
      <c r="L73" s="2">
        <v>6.3</v>
      </c>
      <c r="M73" s="2"/>
      <c r="N73" s="4">
        <v>215</v>
      </c>
      <c r="O73" s="4"/>
      <c r="P73" s="3">
        <v>4.7</v>
      </c>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1">
        <f t="shared" si="9"/>
        <v>0</v>
      </c>
    </row>
    <row r="74" spans="1:45" ht="14.25" customHeight="1" x14ac:dyDescent="0.3">
      <c r="A74" s="61"/>
      <c r="B74" s="74"/>
      <c r="C74" s="61"/>
      <c r="D74" s="61"/>
      <c r="E74" s="61"/>
      <c r="F74" s="58"/>
      <c r="G74" s="58"/>
      <c r="H74" s="61"/>
      <c r="I74" s="74"/>
      <c r="J74" s="4"/>
      <c r="K74" s="4"/>
      <c r="L74" s="2"/>
      <c r="M74" s="2"/>
      <c r="N74" s="4"/>
      <c r="O74" s="4"/>
      <c r="P74" s="3"/>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1"/>
    </row>
    <row r="75" spans="1:45" x14ac:dyDescent="0.3">
      <c r="A75" s="61">
        <v>45461</v>
      </c>
      <c r="B75" s="74">
        <v>5</v>
      </c>
      <c r="C75" s="61" t="s">
        <v>367</v>
      </c>
      <c r="D75" s="61"/>
      <c r="E75" s="61" t="s">
        <v>349</v>
      </c>
      <c r="F75" s="74"/>
      <c r="G75" s="74"/>
      <c r="H75" s="61" t="s">
        <v>338</v>
      </c>
      <c r="I75" s="74"/>
      <c r="J75" s="4">
        <v>41.12</v>
      </c>
      <c r="K75" s="4" t="s">
        <v>96</v>
      </c>
      <c r="L75" s="2">
        <v>5.81</v>
      </c>
      <c r="M75">
        <v>6.1</v>
      </c>
      <c r="N75" s="4">
        <v>489</v>
      </c>
      <c r="O75"/>
      <c r="P75">
        <v>12.8</v>
      </c>
      <c r="Q75">
        <v>93</v>
      </c>
      <c r="R75" s="4">
        <v>104.4</v>
      </c>
      <c r="S75" s="4">
        <v>-74.400000000000006</v>
      </c>
      <c r="T75" s="4" cm="1">
        <f t="array" ref="T75">_xlfn.IFS(L75&lt;=5,IF(ISNUMBER(X75)=TRUE,X75*1.79+AA75*1.8+Z75*5.56+50000*(10^-L75)-R75,1.79+AA75*1.8+Z75*5.56+50000*(10^-L75)-R75),L75&gt;5,IF(ISNUMBER(X75)=TRUE,X75*1.79+AA75*1.8+50000*(10^-L75)-R75,AA75*1.8+50000*(10^-L75)-R75))</f>
        <v>-99.66225916905438</v>
      </c>
      <c r="U75"/>
      <c r="V75"/>
      <c r="W75" s="3">
        <v>1.718</v>
      </c>
      <c r="X75" s="3">
        <v>0.35</v>
      </c>
      <c r="Y75" s="3"/>
      <c r="Z75" s="52">
        <v>0.5</v>
      </c>
      <c r="AA75" s="3">
        <v>2.2410000000000001</v>
      </c>
      <c r="AB75" s="4">
        <v>150.19999999999999</v>
      </c>
      <c r="AC75"/>
      <c r="AD75"/>
      <c r="AE75"/>
      <c r="AF75"/>
      <c r="AG75"/>
      <c r="AH75"/>
      <c r="AI75"/>
      <c r="AJ75"/>
      <c r="AK75" t="s">
        <v>363</v>
      </c>
      <c r="AL75">
        <v>348</v>
      </c>
      <c r="AM75"/>
      <c r="AN75" s="1">
        <f t="shared" ref="AN75:AN76" si="12">S75*J75*0.012</f>
        <v>-36.711936000000001</v>
      </c>
      <c r="AO75" s="1">
        <f t="shared" ref="AO75:AO76" si="13">W75*J75*0.012</f>
        <v>0.84772992000000003</v>
      </c>
      <c r="AP75" s="1">
        <f t="shared" ref="AP75:AP76" si="14">Z75*J75*0.012</f>
        <v>0.24671999999999999</v>
      </c>
      <c r="AQ75" s="1">
        <f t="shared" ref="AQ75:AQ76" si="15">AA75*J75*0.012</f>
        <v>1.10579904</v>
      </c>
      <c r="AR75" s="1">
        <f t="shared" ref="AR75:AR76" si="16">AB75*J75*0.012</f>
        <v>74.114687999999987</v>
      </c>
      <c r="AS75" s="1">
        <f t="shared" ref="AS75:AS180" si="17">0.012*J75*R75</f>
        <v>51.515135999999998</v>
      </c>
    </row>
    <row r="76" spans="1:45" x14ac:dyDescent="0.3">
      <c r="A76" s="61">
        <v>45483</v>
      </c>
      <c r="B76" s="74">
        <v>5</v>
      </c>
      <c r="C76" s="61" t="s">
        <v>367</v>
      </c>
      <c r="D76" s="61"/>
      <c r="E76" s="61" t="s">
        <v>349</v>
      </c>
      <c r="F76" s="74"/>
      <c r="G76" s="74"/>
      <c r="H76" s="61" t="s">
        <v>338</v>
      </c>
      <c r="I76" s="74"/>
      <c r="J76" s="4">
        <v>42.3</v>
      </c>
      <c r="K76" s="4" t="s">
        <v>96</v>
      </c>
      <c r="L76" s="2">
        <v>5.79</v>
      </c>
      <c r="M76">
        <v>6.5</v>
      </c>
      <c r="N76" s="4">
        <v>491</v>
      </c>
      <c r="O76"/>
      <c r="P76">
        <v>13</v>
      </c>
      <c r="Q76">
        <v>74</v>
      </c>
      <c r="R76" s="4">
        <v>98.4</v>
      </c>
      <c r="S76" s="4">
        <v>-78</v>
      </c>
      <c r="T76" s="4" cm="1">
        <f t="array" ref="T76">_xlfn.IFS(L76&lt;=5,IF(ISNUMBER(X76)=TRUE,X76*1.79+AA76*1.8+Z76*5.56+50000*(10^-L76)-R76,1.79+AA76*1.8+Z76*5.56+50000*(10^-L76)-R76),L76&gt;5,IF(ISNUMBER(X76)=TRUE,X76*1.79+AA76*1.8+50000*(10^-L76)-R76,AA76*1.8+50000*(10^-L76)-R76))</f>
        <v>-88.254059495132054</v>
      </c>
      <c r="U76"/>
      <c r="V76"/>
      <c r="W76" s="22">
        <v>10.598000000000001</v>
      </c>
      <c r="X76" s="22">
        <v>3.1349999999999998</v>
      </c>
      <c r="Z76" s="52">
        <v>0.5</v>
      </c>
      <c r="AA76" s="3">
        <v>2.4740000000000002</v>
      </c>
      <c r="AB76" s="4">
        <v>160.6</v>
      </c>
      <c r="AC76"/>
      <c r="AD76"/>
      <c r="AE76"/>
      <c r="AF76"/>
      <c r="AG76"/>
      <c r="AH76"/>
      <c r="AI76"/>
      <c r="AJ76"/>
      <c r="AK76">
        <v>43</v>
      </c>
      <c r="AL76">
        <v>354</v>
      </c>
      <c r="AM76"/>
      <c r="AN76" s="1">
        <f t="shared" si="12"/>
        <v>-39.592799999999997</v>
      </c>
      <c r="AO76" s="1">
        <f t="shared" si="13"/>
        <v>5.3795448000000006</v>
      </c>
      <c r="AP76" s="1">
        <f t="shared" si="14"/>
        <v>0.25379999999999997</v>
      </c>
      <c r="AQ76" s="1">
        <f t="shared" si="15"/>
        <v>1.2558024000000001</v>
      </c>
      <c r="AR76" s="1">
        <f t="shared" si="16"/>
        <v>81.520559999999989</v>
      </c>
      <c r="AS76" s="1">
        <f t="shared" ref="AS76" si="18">0.012*J76*R76</f>
        <v>49.947839999999999</v>
      </c>
    </row>
    <row r="77" spans="1:45" x14ac:dyDescent="0.3">
      <c r="A77" s="61">
        <v>45527</v>
      </c>
      <c r="B77" s="74">
        <v>9</v>
      </c>
      <c r="C77" s="61" t="s">
        <v>367</v>
      </c>
      <c r="D77" s="61"/>
      <c r="E77" s="61" t="s">
        <v>349</v>
      </c>
      <c r="F77" s="74"/>
      <c r="G77" s="74"/>
      <c r="H77" s="61" t="s">
        <v>338</v>
      </c>
      <c r="I77" s="74"/>
      <c r="J77" s="4">
        <v>41.13</v>
      </c>
      <c r="K77" s="4" t="s">
        <v>96</v>
      </c>
      <c r="L77" s="2">
        <v>6.2</v>
      </c>
      <c r="M77" s="38">
        <v>6.3</v>
      </c>
      <c r="N77" s="4">
        <v>512</v>
      </c>
      <c r="O77"/>
      <c r="P77">
        <v>12.2</v>
      </c>
      <c r="Q77">
        <v>101</v>
      </c>
      <c r="R77" s="37">
        <v>90.2</v>
      </c>
      <c r="S77" s="37">
        <v>-77.400000000000006</v>
      </c>
      <c r="T77" s="4" cm="1">
        <f t="array" ref="T77">_xlfn.IFS(L77&lt;=5,IF(ISNUMBER(X77)=TRUE,X77*1.79+AA77*1.8+Z77*5.56+50000*(10^-L77)-R77,1.79+AA77*1.8+Z77*5.56+50000*(10^-L77)-R77),L77&gt;5,IF(ISNUMBER(X77)=TRUE,X77*1.79+AA77*1.8+50000*(10^-L77)-R77,AA77*1.8+50000*(10^-L77)-R77))</f>
        <v>-72.821432132775996</v>
      </c>
      <c r="U77"/>
      <c r="V77"/>
      <c r="W77" s="3">
        <v>7.14</v>
      </c>
      <c r="X77" s="3">
        <v>7.1580000000000004</v>
      </c>
      <c r="Z77" s="52">
        <v>0.5</v>
      </c>
      <c r="AA77" s="3">
        <v>2.5190000000000001</v>
      </c>
      <c r="AB77" s="4">
        <v>166.4</v>
      </c>
      <c r="AC77"/>
      <c r="AD77"/>
      <c r="AE77"/>
      <c r="AF77"/>
      <c r="AG77"/>
      <c r="AH77"/>
      <c r="AI77"/>
      <c r="AJ77"/>
      <c r="AK77" t="s">
        <v>363</v>
      </c>
      <c r="AL77">
        <v>340</v>
      </c>
      <c r="AM77"/>
      <c r="AN77" s="1">
        <f t="shared" ref="AN77" si="19">S77*J77*0.012</f>
        <v>-38.201544000000005</v>
      </c>
      <c r="AO77" s="1">
        <f t="shared" ref="AO77" si="20">W77*J77*0.012</f>
        <v>3.5240184000000001</v>
      </c>
      <c r="AP77" s="1">
        <f t="shared" ref="AP77" si="21">Z77*J77*0.012</f>
        <v>0.24678000000000003</v>
      </c>
      <c r="AQ77" s="1">
        <f t="shared" ref="AQ77" si="22">AA77*J77*0.012</f>
        <v>1.2432776400000003</v>
      </c>
      <c r="AR77" s="1">
        <f t="shared" ref="AR77" si="23">AB77*J77*0.012</f>
        <v>82.128384000000011</v>
      </c>
      <c r="AS77" s="1">
        <f t="shared" ref="AS77" si="24">0.012*J77*R77</f>
        <v>44.519112000000007</v>
      </c>
    </row>
    <row r="78" spans="1:45" x14ac:dyDescent="0.3">
      <c r="A78" s="61">
        <v>45547</v>
      </c>
      <c r="B78" s="74">
        <v>5</v>
      </c>
      <c r="C78" s="61" t="s">
        <v>367</v>
      </c>
      <c r="D78" s="61"/>
      <c r="E78" s="61" t="s">
        <v>349</v>
      </c>
      <c r="F78" s="74"/>
      <c r="G78" s="74"/>
      <c r="H78" s="61" t="s">
        <v>338</v>
      </c>
      <c r="I78" s="74"/>
      <c r="J78" s="4">
        <v>39.26</v>
      </c>
      <c r="K78" s="4" t="s">
        <v>96</v>
      </c>
      <c r="L78" s="2">
        <v>5.87</v>
      </c>
      <c r="M78">
        <v>6.2</v>
      </c>
      <c r="N78" s="4">
        <v>520</v>
      </c>
      <c r="O78"/>
      <c r="P78">
        <v>11.9</v>
      </c>
      <c r="Q78"/>
      <c r="R78" s="4">
        <v>101.6</v>
      </c>
      <c r="S78" s="4">
        <v>-70.599999999999994</v>
      </c>
      <c r="T78" s="4" cm="1">
        <f t="array" ref="T78">_xlfn.IFS(L78&lt;=5,IF(ISNUMBER(X78)=TRUE,X78*1.79+AA78*1.8+Z78*5.56+50000*(10^-L78)-R78,1.79+AA78*1.8+Z78*5.56+50000*(10^-L78)-R78),L78&gt;5,IF(ISNUMBER(X78)=TRUE,X78*1.79+AA78*1.8+50000*(10^-L78)-R78,AA78*1.8+50000*(10^-L78)-R78))</f>
        <v>-89.007121855870409</v>
      </c>
      <c r="U78"/>
      <c r="V78"/>
      <c r="W78" s="22">
        <v>5.0419999999999998</v>
      </c>
      <c r="X78" s="22">
        <v>4.577</v>
      </c>
      <c r="Z78" s="52">
        <v>0.5</v>
      </c>
      <c r="AA78" s="3">
        <v>2.407</v>
      </c>
      <c r="AB78" s="4">
        <v>154.80000000000001</v>
      </c>
      <c r="AC78"/>
      <c r="AD78"/>
      <c r="AE78"/>
      <c r="AF78"/>
      <c r="AG78"/>
      <c r="AH78"/>
      <c r="AI78"/>
      <c r="AJ78"/>
      <c r="AK78" t="s">
        <v>363</v>
      </c>
      <c r="AL78">
        <v>350</v>
      </c>
      <c r="AM78"/>
      <c r="AN78" s="1">
        <f t="shared" ref="AN78" si="25">S78*J78*0.012</f>
        <v>-33.261071999999999</v>
      </c>
      <c r="AO78" s="1">
        <f t="shared" ref="AO78" si="26">W78*J78*0.012</f>
        <v>2.3753870399999997</v>
      </c>
      <c r="AP78" s="1">
        <f t="shared" ref="AP78" si="27">Z78*J78*0.012</f>
        <v>0.23555999999999999</v>
      </c>
      <c r="AQ78" s="1">
        <f t="shared" ref="AQ78" si="28">AA78*J78*0.012</f>
        <v>1.13398584</v>
      </c>
      <c r="AR78" s="1">
        <f t="shared" ref="AR78" si="29">AB78*J78*0.012</f>
        <v>72.929376000000005</v>
      </c>
      <c r="AS78" s="1">
        <f t="shared" ref="AS78" si="30">0.012*J78*R78</f>
        <v>47.865791999999999</v>
      </c>
    </row>
    <row r="79" spans="1:45" x14ac:dyDescent="0.3">
      <c r="A79" s="61">
        <v>45595</v>
      </c>
      <c r="B79" s="74">
        <v>7</v>
      </c>
      <c r="C79" s="61" t="s">
        <v>367</v>
      </c>
      <c r="D79" s="61"/>
      <c r="E79" s="61" t="s">
        <v>349</v>
      </c>
      <c r="F79" s="74"/>
      <c r="G79" s="74"/>
      <c r="H79" s="61" t="s">
        <v>338</v>
      </c>
      <c r="I79" s="74"/>
      <c r="J79" s="4">
        <v>41.6</v>
      </c>
      <c r="K79" s="4" t="s">
        <v>96</v>
      </c>
      <c r="L79" s="2">
        <v>5.94</v>
      </c>
      <c r="M79">
        <v>6.4</v>
      </c>
      <c r="N79" s="4">
        <v>514</v>
      </c>
      <c r="O79"/>
      <c r="P79">
        <v>12.2</v>
      </c>
      <c r="Q79"/>
      <c r="R79" s="4">
        <v>98</v>
      </c>
      <c r="S79" s="4">
        <v>-56</v>
      </c>
      <c r="T79" s="4" cm="1">
        <f t="array" ref="T79">_xlfn.IFS(L79&lt;=5,IF(ISNUMBER(X79)=TRUE,X79*1.79+AA79*1.8+Z79*5.56+50000*(10^-L79)-R79,1.79+AA79*1.8+Z79*5.56+50000*(10^-L79)-R79),L79&gt;5,IF(ISNUMBER(X79)=TRUE,X79*1.79+AA79*1.8+50000*(10^-L79)-R79,AA79*1.8+50000*(10^-L79)-R79))</f>
        <v>-75.464892318925152</v>
      </c>
      <c r="U79"/>
      <c r="V79"/>
      <c r="W79" s="22">
        <v>10.238</v>
      </c>
      <c r="X79" s="22">
        <v>9.9700000000000006</v>
      </c>
      <c r="Z79" s="52">
        <v>0.5</v>
      </c>
      <c r="AA79" s="3">
        <v>2.573</v>
      </c>
      <c r="AB79" s="4">
        <v>173.2</v>
      </c>
      <c r="AC79"/>
      <c r="AD79"/>
      <c r="AE79"/>
      <c r="AF79"/>
      <c r="AG79"/>
      <c r="AH79"/>
      <c r="AI79"/>
      <c r="AJ79"/>
      <c r="AK79" t="s">
        <v>363</v>
      </c>
      <c r="AL79">
        <v>346</v>
      </c>
      <c r="AM79"/>
      <c r="AN79" s="1">
        <f t="shared" ref="AN79" si="31">S79*J79*0.012</f>
        <v>-27.955199999999998</v>
      </c>
      <c r="AO79" s="1">
        <f t="shared" ref="AO79" si="32">W79*J79*0.012</f>
        <v>5.1108096000000005</v>
      </c>
      <c r="AP79" s="1">
        <f t="shared" ref="AP79" si="33">Z79*J79*0.012</f>
        <v>0.24960000000000002</v>
      </c>
      <c r="AQ79" s="1">
        <f t="shared" ref="AQ79" si="34">AA79*J79*0.012</f>
        <v>1.2844416000000001</v>
      </c>
      <c r="AR79" s="1">
        <f t="shared" ref="AR79" si="35">AB79*J79*0.012</f>
        <v>86.461439999999996</v>
      </c>
      <c r="AS79" s="1">
        <f t="shared" ref="AS79" si="36">0.012*J79*R79</f>
        <v>48.921600000000005</v>
      </c>
    </row>
    <row r="80" spans="1:45" x14ac:dyDescent="0.3">
      <c r="A80" s="61">
        <v>45617</v>
      </c>
      <c r="B80" s="74"/>
      <c r="C80" s="61" t="s">
        <v>367</v>
      </c>
      <c r="D80" s="61"/>
      <c r="E80" s="61" t="s">
        <v>349</v>
      </c>
      <c r="F80" s="74"/>
      <c r="G80" s="74"/>
      <c r="H80" s="61" t="s">
        <v>338</v>
      </c>
      <c r="I80" s="74"/>
      <c r="J80" s="4">
        <v>39.299999999999997</v>
      </c>
      <c r="K80" s="4" t="s">
        <v>96</v>
      </c>
      <c r="L80" s="2">
        <v>5.86</v>
      </c>
      <c r="M80">
        <v>6.2</v>
      </c>
      <c r="N80" s="4">
        <v>523</v>
      </c>
      <c r="O80"/>
      <c r="P80">
        <v>11.3</v>
      </c>
      <c r="Q80"/>
      <c r="R80" s="4">
        <v>94.4</v>
      </c>
      <c r="S80" s="4">
        <v>-60.6</v>
      </c>
      <c r="T80" s="4" cm="1">
        <f t="array" ref="T80">_xlfn.IFS(L80&lt;=5,IF(ISNUMBER(X80)=TRUE,X80*1.79+AA80*1.8+Z80*5.56+50000*(10^-L80)-R80,1.79+AA80*1.8+Z80*5.56+50000*(10^-L80)-R80),L80&gt;5,IF(ISNUMBER(X80)=TRUE,X80*1.79+AA80*1.8+50000*(10^-L80)-R80,AA80*1.8+50000*(10^-L80)-R80))</f>
        <v>-67.442310786769866</v>
      </c>
      <c r="U80"/>
      <c r="V80"/>
      <c r="W80" s="22">
        <v>12.173999999999999</v>
      </c>
      <c r="X80" s="22">
        <v>12.212999999999999</v>
      </c>
      <c r="Z80" s="52">
        <v>0.5</v>
      </c>
      <c r="AA80" s="3">
        <v>2.7930000000000001</v>
      </c>
      <c r="AB80" s="4">
        <v>192.2</v>
      </c>
      <c r="AC80"/>
      <c r="AD80"/>
      <c r="AE80"/>
      <c r="AF80"/>
      <c r="AG80"/>
      <c r="AH80"/>
      <c r="AI80"/>
      <c r="AJ80"/>
      <c r="AK80" t="s">
        <v>363</v>
      </c>
      <c r="AL80">
        <v>334</v>
      </c>
      <c r="AM80"/>
      <c r="AN80" s="1">
        <f t="shared" ref="AN80" si="37">S80*J80*0.012</f>
        <v>-28.578959999999999</v>
      </c>
      <c r="AO80" s="1">
        <f t="shared" ref="AO80" si="38">W80*J80*0.012</f>
        <v>5.7412583999999995</v>
      </c>
      <c r="AP80" s="1">
        <f t="shared" ref="AP80" si="39">Z80*J80*0.012</f>
        <v>0.23579999999999998</v>
      </c>
      <c r="AQ80" s="1">
        <f t="shared" ref="AQ80" si="40">AA80*J80*0.012</f>
        <v>1.3171788</v>
      </c>
      <c r="AR80" s="1">
        <f t="shared" ref="AR80" si="41">AB80*J80*0.012</f>
        <v>90.641519999999986</v>
      </c>
      <c r="AS80" s="1">
        <f t="shared" ref="AS80" si="42">0.012*J80*R80</f>
        <v>44.519039999999997</v>
      </c>
    </row>
    <row r="81" spans="1:48" x14ac:dyDescent="0.3">
      <c r="A81" s="61">
        <v>45644</v>
      </c>
      <c r="B81" s="74">
        <v>35</v>
      </c>
      <c r="C81" s="61" t="s">
        <v>367</v>
      </c>
      <c r="D81" s="61"/>
      <c r="E81" s="61" t="s">
        <v>349</v>
      </c>
      <c r="F81" s="74"/>
      <c r="G81" s="74"/>
      <c r="H81" s="61" t="s">
        <v>338</v>
      </c>
      <c r="I81" s="74"/>
      <c r="J81" s="4">
        <v>42.3</v>
      </c>
      <c r="K81" s="4" t="s">
        <v>96</v>
      </c>
      <c r="L81" s="2">
        <v>6.26</v>
      </c>
      <c r="M81">
        <v>6.2</v>
      </c>
      <c r="N81" s="4">
        <v>482</v>
      </c>
      <c r="O81"/>
      <c r="P81">
        <v>10.9</v>
      </c>
      <c r="Q81"/>
      <c r="R81" s="4">
        <v>95.2</v>
      </c>
      <c r="S81" s="4">
        <v>31.2</v>
      </c>
      <c r="T81" s="4" cm="1">
        <f t="array" ref="T81">_xlfn.IFS(L81&lt;=5,IF(ISNUMBER(X81)=TRUE,X81*1.79+AA81*1.8+Z81*5.56+50000*(10^-L81)-R81,1.79+AA81*1.8+Z81*5.56+50000*(10^-L81)-R81),L81&gt;5,IF(ISNUMBER(X81)=TRUE,X81*1.79+AA81*1.8+50000*(10^-L81)-R81,AA81*1.8+50000*(10^-L81)-R81))</f>
        <v>-75.520322956307126</v>
      </c>
      <c r="U81"/>
      <c r="V81"/>
      <c r="W81" s="22">
        <v>9.7560000000000002</v>
      </c>
      <c r="X81" s="22">
        <v>8.48</v>
      </c>
      <c r="Z81" s="52">
        <v>0.5</v>
      </c>
      <c r="AA81" s="3">
        <v>2.4849999999999999</v>
      </c>
      <c r="AB81" s="10">
        <v>1013.6</v>
      </c>
      <c r="AC81"/>
      <c r="AD81"/>
      <c r="AE81"/>
      <c r="AF81"/>
      <c r="AG81"/>
      <c r="AH81"/>
      <c r="AI81"/>
      <c r="AJ81"/>
      <c r="AK81" t="s">
        <v>363</v>
      </c>
      <c r="AL81">
        <v>348</v>
      </c>
      <c r="AM81"/>
      <c r="AN81" s="1">
        <f t="shared" ref="AN81" si="43">S81*J81*0.012</f>
        <v>15.837120000000001</v>
      </c>
      <c r="AO81" s="1">
        <f t="shared" ref="AO81" si="44">W81*J81*0.012</f>
        <v>4.9521455999999997</v>
      </c>
      <c r="AP81" s="1">
        <f t="shared" ref="AP81" si="45">Z81*J81*0.012</f>
        <v>0.25379999999999997</v>
      </c>
      <c r="AQ81" s="1">
        <f t="shared" ref="AQ81" si="46">AA81*J81*0.012</f>
        <v>1.2613859999999999</v>
      </c>
      <c r="AR81" s="1">
        <f t="shared" ref="AR81" si="47">AB81*J81*0.012</f>
        <v>514.50336000000004</v>
      </c>
      <c r="AS81" s="1">
        <f t="shared" ref="AS81" si="48">0.012*J81*R81</f>
        <v>48.323519999999995</v>
      </c>
    </row>
    <row r="82" spans="1:48" x14ac:dyDescent="0.3">
      <c r="A82" s="61">
        <v>45687</v>
      </c>
      <c r="B82" s="74">
        <v>5</v>
      </c>
      <c r="C82" s="61" t="s">
        <v>367</v>
      </c>
      <c r="D82" s="61"/>
      <c r="E82" s="61" t="s">
        <v>349</v>
      </c>
      <c r="F82" s="74"/>
      <c r="G82" s="74"/>
      <c r="H82" s="61" t="s">
        <v>338</v>
      </c>
      <c r="I82" s="74"/>
      <c r="J82" s="4">
        <v>37.700000000000003</v>
      </c>
      <c r="K82" s="4" t="s">
        <v>96</v>
      </c>
      <c r="L82" s="2">
        <v>6.18</v>
      </c>
      <c r="M82">
        <v>6.2</v>
      </c>
      <c r="N82" s="4">
        <v>524</v>
      </c>
      <c r="O82"/>
      <c r="P82">
        <v>10.199999999999999</v>
      </c>
      <c r="Q82"/>
      <c r="R82" s="4">
        <v>98.6</v>
      </c>
      <c r="S82" s="4">
        <v>-72.2</v>
      </c>
      <c r="T82" s="4" cm="1">
        <f t="array" ref="T82">_xlfn.IFS(L82&lt;=5,IF(ISNUMBER(X82)=TRUE,X82*1.79+AA82*1.8+Z82*5.56+50000*(10^-L82)-R82,1.79+AA82*1.8+Z82*5.56+50000*(10^-L82)-R82),L82&gt;5,IF(ISNUMBER(X82)=TRUE,X82*1.79+AA82*1.8+50000*(10^-L82)-R82,AA82*1.8+50000*(10^-L82)-R82))</f>
        <v>-86.255305327599615</v>
      </c>
      <c r="U82"/>
      <c r="V82"/>
      <c r="W82" s="22">
        <v>5.024</v>
      </c>
      <c r="X82" s="22">
        <v>4.3540000000000001</v>
      </c>
      <c r="Z82" s="52">
        <v>0.5</v>
      </c>
      <c r="AA82" s="3">
        <v>2.5099999999999998</v>
      </c>
      <c r="AB82" s="18">
        <v>155.9</v>
      </c>
      <c r="AC82"/>
      <c r="AD82"/>
      <c r="AE82"/>
      <c r="AF82"/>
      <c r="AG82"/>
      <c r="AH82"/>
      <c r="AI82"/>
      <c r="AJ82"/>
      <c r="AK82" t="s">
        <v>363</v>
      </c>
      <c r="AL82">
        <v>354</v>
      </c>
      <c r="AM82"/>
      <c r="AN82" s="1">
        <f t="shared" ref="AN82" si="49">S82*J82*0.012</f>
        <v>-32.663280000000007</v>
      </c>
      <c r="AO82" s="1">
        <f t="shared" ref="AO82" si="50">W82*J82*0.012</f>
        <v>2.2728576000000005</v>
      </c>
      <c r="AP82" s="1">
        <f t="shared" ref="AP82" si="51">Z82*J82*0.012</f>
        <v>0.22620000000000001</v>
      </c>
      <c r="AQ82" s="1">
        <f t="shared" ref="AQ82" si="52">AA82*J82*0.012</f>
        <v>1.135524</v>
      </c>
      <c r="AR82" s="1">
        <f t="shared" ref="AR82" si="53">AB82*J82*0.012</f>
        <v>70.529160000000005</v>
      </c>
      <c r="AS82" s="1">
        <f t="shared" ref="AS82" si="54">0.012*J82*R82</f>
        <v>44.606639999999999</v>
      </c>
    </row>
    <row r="83" spans="1:48" s="7" customFormat="1" x14ac:dyDescent="0.3">
      <c r="A83" s="45" t="s">
        <v>144</v>
      </c>
      <c r="J83" s="20">
        <f>AVERAGE(J75:J82)</f>
        <v>40.588749999999997</v>
      </c>
      <c r="K83" s="20"/>
      <c r="L83" s="20">
        <f>AVERAGE(L75:L82)</f>
        <v>5.9887500000000005</v>
      </c>
      <c r="M83" s="20">
        <f>AVERAGE(M75:M82)</f>
        <v>6.2625000000000011</v>
      </c>
      <c r="N83" s="20">
        <f>AVERAGE(N75:N82)</f>
        <v>506.875</v>
      </c>
      <c r="O83" s="20"/>
      <c r="P83" s="20">
        <f>AVERAGE(P75:P82)</f>
        <v>11.8125</v>
      </c>
      <c r="Q83" s="20">
        <f>AVERAGE(Q75:Q82)</f>
        <v>89.333333333333329</v>
      </c>
      <c r="R83" s="20">
        <f>AVERAGE(R75:R82)</f>
        <v>97.600000000000009</v>
      </c>
      <c r="S83" s="20">
        <f>AVERAGE(S75:S82)</f>
        <v>-57.25</v>
      </c>
      <c r="T83" s="20">
        <f>AVERAGE(T75:T82)</f>
        <v>-81.803463005304337</v>
      </c>
      <c r="U83" s="20"/>
      <c r="V83" s="20"/>
      <c r="W83" s="20">
        <f>AVERAGE(W75:W82)</f>
        <v>7.7112499999999997</v>
      </c>
      <c r="X83" s="20">
        <f>AVERAGE(X75:X82)</f>
        <v>6.2796249999999993</v>
      </c>
      <c r="Y83" s="20"/>
      <c r="Z83" s="20">
        <f>AVERAGE(Z75:Z82)</f>
        <v>0.5</v>
      </c>
      <c r="AA83" s="20">
        <f>AVERAGE(AA75:AA82)</f>
        <v>2.5002500000000003</v>
      </c>
      <c r="AB83" s="20">
        <f>AVERAGE(AB75:AB82)</f>
        <v>270.86250000000001</v>
      </c>
      <c r="AC83" s="20"/>
      <c r="AD83" s="20"/>
      <c r="AE83" s="20"/>
      <c r="AF83" s="20"/>
      <c r="AG83" s="20"/>
      <c r="AH83" s="20"/>
      <c r="AI83" s="20"/>
      <c r="AJ83" s="20"/>
      <c r="AK83" s="20">
        <f>AVERAGE(AK75:AK82)</f>
        <v>43</v>
      </c>
      <c r="AL83" s="20">
        <f>AVERAGE(AL75:AL82)</f>
        <v>346.75</v>
      </c>
      <c r="AM83" s="20"/>
      <c r="AN83" s="20">
        <f t="shared" ref="AN83:AS83" si="55">AVERAGE(AN75:AN82)</f>
        <v>-27.640959000000002</v>
      </c>
      <c r="AO83" s="20">
        <f t="shared" si="55"/>
        <v>3.7754689199999998</v>
      </c>
      <c r="AP83" s="20">
        <f t="shared" si="55"/>
        <v>0.24353249999999999</v>
      </c>
      <c r="AQ83" s="20">
        <f t="shared" si="55"/>
        <v>1.2171744150000001</v>
      </c>
      <c r="AR83" s="20">
        <f t="shared" si="55"/>
        <v>134.10356100000001</v>
      </c>
      <c r="AS83" s="20">
        <f t="shared" si="55"/>
        <v>47.527334999999994</v>
      </c>
      <c r="AT83" s="20"/>
      <c r="AU83" s="20"/>
      <c r="AV83" s="20"/>
    </row>
    <row r="84" spans="1:48" ht="14.25" customHeight="1" x14ac:dyDescent="0.3">
      <c r="A84" s="61"/>
      <c r="B84" s="74"/>
      <c r="C84" s="61"/>
      <c r="D84" s="61"/>
      <c r="E84" s="61"/>
      <c r="F84" s="74"/>
      <c r="G84" s="74"/>
      <c r="H84" s="61"/>
      <c r="I84" s="74"/>
      <c r="J84" s="4"/>
      <c r="K84"/>
      <c r="L84"/>
      <c r="M84"/>
      <c r="N84"/>
      <c r="O84"/>
      <c r="P84"/>
      <c r="Q84"/>
      <c r="R84"/>
      <c r="S84"/>
      <c r="T84"/>
      <c r="U84"/>
      <c r="V84"/>
      <c r="W84"/>
      <c r="X84"/>
      <c r="Y84"/>
      <c r="Z84"/>
      <c r="AA84"/>
      <c r="AB84"/>
      <c r="AC84"/>
      <c r="AD84"/>
      <c r="AE84"/>
      <c r="AF84"/>
      <c r="AG84"/>
      <c r="AH84"/>
      <c r="AI84"/>
      <c r="AJ84"/>
      <c r="AK84"/>
      <c r="AL84"/>
      <c r="AM84"/>
      <c r="AN84"/>
      <c r="AO84"/>
      <c r="AP84"/>
      <c r="AQ84"/>
      <c r="AR84"/>
      <c r="AS84" s="1"/>
    </row>
    <row r="85" spans="1:48" ht="14.25" customHeight="1" x14ac:dyDescent="0.3">
      <c r="A85" s="61">
        <v>45352</v>
      </c>
      <c r="B85" s="74"/>
      <c r="C85" s="61"/>
      <c r="D85" s="61"/>
      <c r="E85" s="61" t="s">
        <v>350</v>
      </c>
      <c r="F85" s="74"/>
      <c r="G85" s="74"/>
      <c r="H85" s="61" t="s">
        <v>218</v>
      </c>
      <c r="I85" s="74"/>
      <c r="J85" s="4"/>
      <c r="K85"/>
      <c r="L85">
        <v>6.53</v>
      </c>
      <c r="M85"/>
      <c r="N85">
        <v>66</v>
      </c>
      <c r="O85"/>
      <c r="P85">
        <v>6.8</v>
      </c>
      <c r="Q85"/>
      <c r="R85"/>
      <c r="S85"/>
      <c r="T85"/>
      <c r="U85"/>
      <c r="V85"/>
      <c r="W85"/>
      <c r="X85"/>
      <c r="Y85"/>
      <c r="Z85"/>
      <c r="AA85"/>
      <c r="AB85"/>
      <c r="AC85"/>
      <c r="AD85"/>
      <c r="AE85"/>
      <c r="AF85"/>
      <c r="AG85"/>
      <c r="AH85"/>
      <c r="AI85"/>
      <c r="AJ85"/>
      <c r="AK85"/>
      <c r="AL85"/>
      <c r="AM85"/>
      <c r="AN85"/>
      <c r="AO85"/>
      <c r="AP85"/>
      <c r="AQ85"/>
      <c r="AR85"/>
      <c r="AS85" s="1">
        <f t="shared" si="17"/>
        <v>0</v>
      </c>
    </row>
    <row r="86" spans="1:48" ht="13.2" customHeight="1" x14ac:dyDescent="0.3">
      <c r="A86" s="6"/>
      <c r="B86" s="6"/>
      <c r="C86" s="38"/>
      <c r="D86" s="38"/>
      <c r="E86" s="38"/>
      <c r="F86" s="38"/>
      <c r="G86" s="38"/>
      <c r="H86" s="38"/>
      <c r="I86" s="38"/>
      <c r="J86" s="60"/>
      <c r="L86" s="34"/>
      <c r="M86" s="41"/>
      <c r="R86" s="40"/>
      <c r="S86" s="40"/>
      <c r="T86" s="40"/>
      <c r="W86" s="8"/>
      <c r="Z86" s="8"/>
      <c r="AA86" s="8"/>
      <c r="AB86" s="40"/>
      <c r="AN86" s="33"/>
      <c r="AS86" s="1"/>
    </row>
    <row r="87" spans="1:48" ht="14.25" customHeight="1" x14ac:dyDescent="0.3">
      <c r="A87" s="61">
        <v>37042</v>
      </c>
      <c r="B87" s="62"/>
      <c r="C87" s="38" t="s">
        <v>205</v>
      </c>
      <c r="D87" s="38"/>
      <c r="E87" s="68" t="s">
        <v>313</v>
      </c>
      <c r="F87" s="59">
        <v>40.638890000000004</v>
      </c>
      <c r="G87" s="59">
        <v>-79.009439999999998</v>
      </c>
      <c r="H87" s="38"/>
      <c r="I87" s="38"/>
      <c r="J87" s="67">
        <v>516</v>
      </c>
      <c r="L87" s="34"/>
      <c r="M87" s="64">
        <v>5.9</v>
      </c>
      <c r="R87" s="65">
        <v>18.2</v>
      </c>
      <c r="S87" s="65">
        <v>12.4</v>
      </c>
      <c r="T87" s="65">
        <f t="shared" ref="T87:T92" si="56">AA87*1.81+50000*10^-M87-R87</f>
        <v>-14.26365372941029</v>
      </c>
      <c r="W87" s="66">
        <v>7.62</v>
      </c>
      <c r="Z87" s="66">
        <v>1.7</v>
      </c>
      <c r="AA87" s="66">
        <v>2.14</v>
      </c>
      <c r="AB87" s="65">
        <v>273</v>
      </c>
      <c r="AN87" s="33">
        <f>T87*J87/82.23</f>
        <v>-89.505598010163069</v>
      </c>
      <c r="AQ87" s="33">
        <f t="shared" ref="AQ87:AR92" si="57">AA87*$J87/82.23</f>
        <v>13.428675665815396</v>
      </c>
      <c r="AR87" s="33">
        <f t="shared" si="57"/>
        <v>1713.0974097044873</v>
      </c>
      <c r="AS87" s="1">
        <f t="shared" si="17"/>
        <v>112.6944</v>
      </c>
    </row>
    <row r="88" spans="1:48" ht="14.25" customHeight="1" x14ac:dyDescent="0.3">
      <c r="A88" s="61">
        <v>37070</v>
      </c>
      <c r="B88" s="6"/>
      <c r="C88" s="38" t="s">
        <v>205</v>
      </c>
      <c r="D88" s="38"/>
      <c r="E88" s="68" t="s">
        <v>313</v>
      </c>
      <c r="F88" s="59">
        <v>40.638890000000004</v>
      </c>
      <c r="G88" s="59">
        <v>-79.009439999999998</v>
      </c>
      <c r="H88" s="38"/>
      <c r="I88" s="38"/>
      <c r="J88" s="67">
        <v>178</v>
      </c>
      <c r="L88" s="34"/>
      <c r="M88" s="64">
        <v>5.9</v>
      </c>
      <c r="R88" s="65">
        <v>11.8</v>
      </c>
      <c r="S88" s="65">
        <v>50.2</v>
      </c>
      <c r="T88" s="65">
        <f t="shared" si="56"/>
        <v>-7.8093537294102919</v>
      </c>
      <c r="W88" s="66">
        <v>9.27</v>
      </c>
      <c r="Z88" s="66">
        <v>1.1599999999999999</v>
      </c>
      <c r="AA88" s="66">
        <v>2.17</v>
      </c>
      <c r="AB88" s="65">
        <v>312.10000000000002</v>
      </c>
      <c r="AN88" s="33">
        <f t="shared" ref="AN88:AN92" si="58">T88*J88/82.23</f>
        <v>-16.904596422656351</v>
      </c>
      <c r="AQ88" s="33">
        <f t="shared" si="57"/>
        <v>4.6973124163930438</v>
      </c>
      <c r="AR88" s="33">
        <f t="shared" si="57"/>
        <v>675.59041712270459</v>
      </c>
      <c r="AS88" s="1">
        <f t="shared" si="17"/>
        <v>25.204800000000002</v>
      </c>
    </row>
    <row r="89" spans="1:48" ht="14.25" customHeight="1" x14ac:dyDescent="0.3">
      <c r="A89" s="61">
        <v>37426</v>
      </c>
      <c r="B89" s="62"/>
      <c r="C89" s="38" t="s">
        <v>205</v>
      </c>
      <c r="D89" s="38"/>
      <c r="E89" s="68" t="s">
        <v>317</v>
      </c>
      <c r="F89" s="59">
        <v>40.638890000000004</v>
      </c>
      <c r="G89" s="59">
        <v>-79.009439999999998</v>
      </c>
      <c r="H89" s="38"/>
      <c r="I89" s="38"/>
      <c r="J89" s="67">
        <v>1639</v>
      </c>
      <c r="L89" s="34"/>
      <c r="M89" s="64">
        <v>4.5</v>
      </c>
      <c r="R89" s="65">
        <v>7.6</v>
      </c>
      <c r="S89" s="65">
        <v>72.2</v>
      </c>
      <c r="T89" s="65">
        <f t="shared" si="56"/>
        <v>8.0838830084188018E-2</v>
      </c>
      <c r="W89" s="66">
        <v>2.63</v>
      </c>
      <c r="Z89" s="66">
        <v>7.7</v>
      </c>
      <c r="AA89" s="66">
        <v>3.37</v>
      </c>
      <c r="AB89" s="65">
        <v>245.8</v>
      </c>
      <c r="AN89" s="33">
        <f t="shared" si="58"/>
        <v>1.6112713426727978</v>
      </c>
      <c r="AQ89" s="33">
        <f t="shared" si="57"/>
        <v>67.170497385382461</v>
      </c>
      <c r="AR89" s="33">
        <f t="shared" si="57"/>
        <v>4899.2606104827919</v>
      </c>
      <c r="AS89" s="1">
        <f t="shared" si="17"/>
        <v>149.4768</v>
      </c>
    </row>
    <row r="90" spans="1:48" ht="14.25" customHeight="1" x14ac:dyDescent="0.3">
      <c r="A90" s="61">
        <v>37459</v>
      </c>
      <c r="C90" s="38" t="s">
        <v>205</v>
      </c>
      <c r="D90" s="38"/>
      <c r="E90" s="68" t="s">
        <v>313</v>
      </c>
      <c r="F90" s="59">
        <v>40.638890000000004</v>
      </c>
      <c r="G90" s="59">
        <v>-79.009439999999998</v>
      </c>
      <c r="H90" s="38"/>
      <c r="I90" s="38"/>
      <c r="J90" s="67">
        <v>147</v>
      </c>
      <c r="L90" s="34"/>
      <c r="M90" s="64">
        <v>4.9000000000000004</v>
      </c>
      <c r="R90" s="65">
        <v>7.6</v>
      </c>
      <c r="S90" s="65">
        <v>62</v>
      </c>
      <c r="T90" s="65">
        <f t="shared" si="56"/>
        <v>-2.0654372941029164</v>
      </c>
      <c r="W90" s="66">
        <v>10.1</v>
      </c>
      <c r="Z90" s="66">
        <v>2.34</v>
      </c>
      <c r="AA90" s="66">
        <v>2.71</v>
      </c>
      <c r="AB90" s="65">
        <v>394.2</v>
      </c>
      <c r="AN90" s="33">
        <f t="shared" si="58"/>
        <v>-3.6923176727852209</v>
      </c>
      <c r="AQ90" s="33">
        <f t="shared" si="57"/>
        <v>4.8445822692448006</v>
      </c>
      <c r="AR90" s="33">
        <f t="shared" si="57"/>
        <v>704.69901495804447</v>
      </c>
      <c r="AS90" s="1">
        <f t="shared" si="17"/>
        <v>13.4064</v>
      </c>
    </row>
    <row r="91" spans="1:48" ht="14.25" customHeight="1" x14ac:dyDescent="0.3">
      <c r="A91" s="61">
        <v>37763</v>
      </c>
      <c r="B91" s="62"/>
      <c r="C91" s="38" t="s">
        <v>205</v>
      </c>
      <c r="D91" s="38"/>
      <c r="E91" s="68" t="s">
        <v>317</v>
      </c>
      <c r="F91" s="59">
        <v>40.638890000000004</v>
      </c>
      <c r="G91" s="59">
        <v>-79.009439999999998</v>
      </c>
      <c r="H91" s="38"/>
      <c r="I91" s="38"/>
      <c r="J91" s="67">
        <v>920</v>
      </c>
      <c r="L91" s="34"/>
      <c r="M91" s="64">
        <v>6.3</v>
      </c>
      <c r="R91" s="65">
        <v>17</v>
      </c>
      <c r="S91" s="65">
        <v>39.4</v>
      </c>
      <c r="T91" s="65">
        <f t="shared" si="56"/>
        <v>-14.694340638318636</v>
      </c>
      <c r="W91" s="66">
        <v>2.4700000000000002</v>
      </c>
      <c r="Z91" s="66">
        <v>1.5</v>
      </c>
      <c r="AA91" s="66">
        <v>1.26</v>
      </c>
      <c r="AB91" s="65">
        <v>136.1</v>
      </c>
      <c r="AN91" s="33">
        <f t="shared" si="58"/>
        <v>-164.40220585252516</v>
      </c>
      <c r="AQ91" s="33">
        <f t="shared" si="57"/>
        <v>14.097044874133529</v>
      </c>
      <c r="AR91" s="33">
        <f t="shared" si="57"/>
        <v>1522.7046090234708</v>
      </c>
      <c r="AS91" s="1">
        <f t="shared" si="17"/>
        <v>187.68</v>
      </c>
    </row>
    <row r="92" spans="1:48" ht="14.25" customHeight="1" x14ac:dyDescent="0.3">
      <c r="A92" s="61">
        <v>37841</v>
      </c>
      <c r="C92" s="38" t="s">
        <v>205</v>
      </c>
      <c r="D92" s="38"/>
      <c r="E92" s="68" t="s">
        <v>317</v>
      </c>
      <c r="F92" s="59">
        <v>40.638890000000004</v>
      </c>
      <c r="G92" s="59">
        <v>-79.009439999999998</v>
      </c>
      <c r="H92" s="38"/>
      <c r="I92" s="38"/>
      <c r="J92" s="67">
        <v>1598</v>
      </c>
      <c r="L92" s="34"/>
      <c r="M92" s="64">
        <v>4.9000000000000004</v>
      </c>
      <c r="R92" s="65">
        <v>8.1999999999999993</v>
      </c>
      <c r="S92" s="65">
        <v>44.6</v>
      </c>
      <c r="T92" s="65">
        <f t="shared" si="56"/>
        <v>-3.5342372941029163</v>
      </c>
      <c r="W92" s="66">
        <v>2.31</v>
      </c>
      <c r="Z92" s="66">
        <v>3.87</v>
      </c>
      <c r="AA92" s="66">
        <v>2.23</v>
      </c>
      <c r="AB92" s="65">
        <v>216.9</v>
      </c>
      <c r="AN92" s="33">
        <f t="shared" si="58"/>
        <v>-68.68188247569573</v>
      </c>
      <c r="AQ92" s="33">
        <f t="shared" si="57"/>
        <v>43.336251976164412</v>
      </c>
      <c r="AR92" s="33">
        <f t="shared" si="57"/>
        <v>4215.0820868296241</v>
      </c>
      <c r="AS92" s="1">
        <f t="shared" si="17"/>
        <v>157.2432</v>
      </c>
    </row>
    <row r="93" spans="1:48" ht="14.25" customHeight="1" x14ac:dyDescent="0.3">
      <c r="A93" s="61">
        <f>'Chemical Data'!A512</f>
        <v>45366</v>
      </c>
      <c r="B93" s="74">
        <f>'Chemical Data'!B512</f>
        <v>4</v>
      </c>
      <c r="C93" s="61" t="str">
        <f>'Chemical Data'!C512</f>
        <v>MP7</v>
      </c>
      <c r="D93" s="61"/>
      <c r="E93" s="61" t="str">
        <f>'Chemical Data'!E512</f>
        <v>MP7 from TMDL</v>
      </c>
      <c r="F93" s="61"/>
      <c r="G93" s="61"/>
      <c r="H93" s="61" t="str">
        <f>'Chemical Data'!H512</f>
        <v>Hedin and ICCD</v>
      </c>
      <c r="I93" s="74">
        <v>1.877</v>
      </c>
      <c r="J93" s="4">
        <f>IF(ISNUMBER('Chemical Data'!J512),'Chemical Data'!J512,"")</f>
        <v>2047</v>
      </c>
      <c r="K93" s="4" t="str">
        <f>IF(ISNUMBER('Chemical Data'!K512),'Chemical Data'!K512,"")</f>
        <v/>
      </c>
      <c r="L93" s="2">
        <f>IF(ISNUMBER('Chemical Data'!L512),'Chemical Data'!L512,"")</f>
        <v>5.9</v>
      </c>
      <c r="M93" s="2">
        <f>IF(ISNUMBER('Chemical Data'!M512),'Chemical Data'!M512,"")</f>
        <v>6.1</v>
      </c>
      <c r="N93" s="4">
        <f>IF(ISNUMBER('Chemical Data'!N512),'Chemical Data'!N512,"")</f>
        <v>314</v>
      </c>
      <c r="O93" s="4" t="str">
        <f>IF(ISNUMBER('Chemical Data'!O512),'Chemical Data'!O512,"")</f>
        <v/>
      </c>
      <c r="P93" s="4" t="str">
        <f>IF(ISNUMBER('Chemical Data'!P512),'Chemical Data'!P512,"")</f>
        <v/>
      </c>
      <c r="Q93" s="4" t="str">
        <f>IF(ISNUMBER('Chemical Data'!Q512),'Chemical Data'!Q512,"")</f>
        <v/>
      </c>
      <c r="R93" s="4">
        <f>IF(ISNUMBER('Chemical Data'!R512),'Chemical Data'!R512,"")</f>
        <v>21.4</v>
      </c>
      <c r="S93" s="4">
        <f>IF(ISNUMBER('Chemical Data'!S512),'Chemical Data'!S512,"")</f>
        <v>5.8</v>
      </c>
      <c r="T93" s="4">
        <f>IF(ISNUMBER('Chemical Data'!T512),'Chemical Data'!T512,"")</f>
        <v>-18.935093729410291</v>
      </c>
      <c r="U93" s="4"/>
      <c r="V93" s="4"/>
      <c r="W93" s="3">
        <f>IF(ISNUMBER('Chemical Data'!W512),'Chemical Data'!W512,"")</f>
        <v>1.3839999999999999</v>
      </c>
      <c r="X93" s="3">
        <f>IF(ISNUMBER('Chemical Data'!X512),'Chemical Data'!X512,"")</f>
        <v>0.46400000000000002</v>
      </c>
      <c r="Y93" s="3"/>
      <c r="Z93" s="3">
        <f>IF(ISNUMBER('Chemical Data'!Z512),'Chemical Data'!Z512,"")</f>
        <v>2.4729999999999999</v>
      </c>
      <c r="AA93" s="3">
        <f>IF(ISNUMBER('Chemical Data'!AA512),'Chemical Data'!AA512,"")</f>
        <v>0.873</v>
      </c>
      <c r="AB93" s="4">
        <f>IF(ISNUMBER('Chemical Data'!AB512),'Chemical Data'!AB512,"")</f>
        <v>122.2</v>
      </c>
      <c r="AC93" s="4" t="str">
        <f>IF(ISNUMBER('Chemical Data'!AC512),'Chemical Data'!AC512,"")</f>
        <v/>
      </c>
      <c r="AD93" s="4" t="str">
        <f>IF(ISNUMBER('Chemical Data'!AD512),'Chemical Data'!AD512,"")</f>
        <v/>
      </c>
      <c r="AE93" s="4" t="str">
        <f>IF(ISNUMBER('Chemical Data'!AE512),'Chemical Data'!AE512,"")</f>
        <v/>
      </c>
      <c r="AF93" s="4" t="str">
        <f>IF(ISNUMBER('Chemical Data'!AF512),'Chemical Data'!AF512,"")</f>
        <v/>
      </c>
      <c r="AG93" s="4" t="str">
        <f>IF(ISNUMBER('Chemical Data'!AG512),'Chemical Data'!AG512,"")</f>
        <v/>
      </c>
      <c r="AH93" s="4" t="str">
        <f>IF(ISNUMBER('Chemical Data'!AH512),'Chemical Data'!AH512,"")</f>
        <v/>
      </c>
      <c r="AI93" s="4" t="str">
        <f>IF(ISNUMBER('Chemical Data'!AI512),'Chemical Data'!AI512,"")</f>
        <v/>
      </c>
      <c r="AJ93" s="4" t="str">
        <f>IF(ISNUMBER('Chemical Data'!AJ512),'Chemical Data'!AJ512,"")</f>
        <v/>
      </c>
      <c r="AK93" s="4">
        <f>IF(ISNUMBER('Chemical Data'!AK512),'Chemical Data'!AK512,"")</f>
        <v>24</v>
      </c>
      <c r="AL93" s="4">
        <f>IF(ISNUMBER('Chemical Data'!AL512),'Chemical Data'!AL512,"")</f>
        <v>208</v>
      </c>
      <c r="AM93" s="4" t="str">
        <f>IF(ISNUMBER('Chemical Data'!AM512),'Chemical Data'!AM512,"")</f>
        <v/>
      </c>
      <c r="AN93" s="4">
        <f>IF(ISNUMBER('Chemical Data'!AN512),'Chemical Data'!AN512,"")</f>
        <v>142.47120000000001</v>
      </c>
      <c r="AO93" s="4">
        <f>IF(ISNUMBER('Chemical Data'!AO512),'Chemical Data'!AO512,"")</f>
        <v>33.996575999999997</v>
      </c>
      <c r="AP93" s="4">
        <f>IF(ISNUMBER('Chemical Data'!AP512),'Chemical Data'!AP512,"")</f>
        <v>60.746772</v>
      </c>
      <c r="AQ93" s="4">
        <f>IF(ISNUMBER('Chemical Data'!AQ512),'Chemical Data'!AQ512,"")</f>
        <v>21.444372000000001</v>
      </c>
      <c r="AR93" s="4">
        <f>IF(ISNUMBER('Chemical Data'!AR512),'Chemical Data'!AR512,"")</f>
        <v>3001.7208000000001</v>
      </c>
      <c r="AS93" s="1">
        <f t="shared" si="17"/>
        <v>525.66959999999995</v>
      </c>
    </row>
    <row r="94" spans="1:48" ht="14.25" customHeight="1" x14ac:dyDescent="0.3">
      <c r="A94" s="61">
        <f>'Chemical Data'!A513</f>
        <v>45527</v>
      </c>
      <c r="B94" s="74">
        <f>'Chemical Data'!B513</f>
        <v>7</v>
      </c>
      <c r="C94" s="61" t="str">
        <f>'Chemical Data'!C513</f>
        <v>MP7</v>
      </c>
      <c r="D94" s="61"/>
      <c r="E94" s="61" t="str">
        <f>'Chemical Data'!E513</f>
        <v>MP7 from TMDL</v>
      </c>
      <c r="F94" s="61"/>
      <c r="G94" s="61"/>
      <c r="H94" s="61" t="str">
        <f>'Chemical Data'!H513</f>
        <v>Hedin and ICCD</v>
      </c>
      <c r="I94" s="74">
        <v>1.877</v>
      </c>
      <c r="J94" s="4">
        <f>IF(ISNUMBER('Chemical Data'!J513),'Chemical Data'!J513,"")</f>
        <v>564</v>
      </c>
      <c r="K94" s="4" t="str">
        <f>IF(ISNUMBER('Chemical Data'!K513),'Chemical Data'!K513,"")</f>
        <v/>
      </c>
      <c r="L94" s="2">
        <f>IF(ISNUMBER('Chemical Data'!L513),'Chemical Data'!L513,"")</f>
        <v>5.61</v>
      </c>
      <c r="M94" s="2">
        <f>IF(ISNUMBER('Chemical Data'!M513),'Chemical Data'!M513,"")</f>
        <v>5.5</v>
      </c>
      <c r="N94" s="4">
        <f>IF(ISNUMBER('Chemical Data'!N513),'Chemical Data'!N513,"")</f>
        <v>477</v>
      </c>
      <c r="O94" s="4" t="str">
        <f>IF(ISNUMBER('Chemical Data'!O513),'Chemical Data'!O513,"")</f>
        <v/>
      </c>
      <c r="P94" s="4" t="str">
        <f>IF(ISNUMBER('Chemical Data'!P513),'Chemical Data'!P513,"")</f>
        <v/>
      </c>
      <c r="Q94" s="4" t="str">
        <f>IF(ISNUMBER('Chemical Data'!Q513),'Chemical Data'!Q513,"")</f>
        <v/>
      </c>
      <c r="R94" s="4">
        <f>IF(ISNUMBER('Chemical Data'!R513),'Chemical Data'!R513,"")</f>
        <v>9.6</v>
      </c>
      <c r="S94" s="4">
        <f>IF(ISNUMBER('Chemical Data'!S513),'Chemical Data'!S513,"")</f>
        <v>11.2</v>
      </c>
      <c r="T94" s="4">
        <f>IF(ISNUMBER('Chemical Data'!T513),'Chemical Data'!T513,"")</f>
        <v>-3.6068545542157473</v>
      </c>
      <c r="U94" s="4"/>
      <c r="V94" s="4"/>
      <c r="W94" s="3">
        <f>IF(ISNUMBER('Chemical Data'!W513),'Chemical Data'!W513,"")</f>
        <v>2.7389999999999999</v>
      </c>
      <c r="X94" s="3">
        <f>IF(ISNUMBER('Chemical Data'!X513),'Chemical Data'!X513,"")</f>
        <v>2.0990000000000002</v>
      </c>
      <c r="Y94" s="3"/>
      <c r="Z94" s="3">
        <f>IF(ISNUMBER('Chemical Data'!Z513),'Chemical Data'!Z513,"")</f>
        <v>2.0219999999999998</v>
      </c>
      <c r="AA94" s="3">
        <f>IF(ISNUMBER('Chemical Data'!AA513),'Chemical Data'!AA513,"")</f>
        <v>1.1739999999999999</v>
      </c>
      <c r="AB94" s="4">
        <f>IF(ISNUMBER('Chemical Data'!AB513),'Chemical Data'!AB513,"")</f>
        <v>236.8</v>
      </c>
      <c r="AC94" s="4" t="str">
        <f>IF(ISNUMBER('Chemical Data'!AC513),'Chemical Data'!AC513,"")</f>
        <v/>
      </c>
      <c r="AD94" s="4" t="str">
        <f>IF(ISNUMBER('Chemical Data'!AD513),'Chemical Data'!AD513,"")</f>
        <v/>
      </c>
      <c r="AE94" s="4" t="str">
        <f>IF(ISNUMBER('Chemical Data'!AE513),'Chemical Data'!AE513,"")</f>
        <v/>
      </c>
      <c r="AF94" s="4" t="str">
        <f>IF(ISNUMBER('Chemical Data'!AF513),'Chemical Data'!AF513,"")</f>
        <v/>
      </c>
      <c r="AG94" s="4" t="str">
        <f>IF(ISNUMBER('Chemical Data'!AG513),'Chemical Data'!AG513,"")</f>
        <v/>
      </c>
      <c r="AH94" s="4" t="str">
        <f>IF(ISNUMBER('Chemical Data'!AH513),'Chemical Data'!AH513,"")</f>
        <v/>
      </c>
      <c r="AI94" s="4" t="str">
        <f>IF(ISNUMBER('Chemical Data'!AI513),'Chemical Data'!AI513,"")</f>
        <v/>
      </c>
      <c r="AJ94" s="4" t="str">
        <f>IF(ISNUMBER('Chemical Data'!AJ513),'Chemical Data'!AJ513,"")</f>
        <v/>
      </c>
      <c r="AK94" s="4" t="str">
        <f>IF(ISNUMBER('Chemical Data'!AK513),'Chemical Data'!AK513,"")</f>
        <v/>
      </c>
      <c r="AL94" s="4">
        <f>IF(ISNUMBER('Chemical Data'!AL513),'Chemical Data'!AL513,"")</f>
        <v>388</v>
      </c>
      <c r="AM94" s="4" t="str">
        <f>IF(ISNUMBER('Chemical Data'!AM513),'Chemical Data'!AM513,"")</f>
        <v/>
      </c>
      <c r="AN94" s="4">
        <f>IF(ISNUMBER('Chemical Data'!AN513),'Chemical Data'!AN513,"")</f>
        <v>75.801599999999993</v>
      </c>
      <c r="AO94" s="4">
        <f>IF(ISNUMBER('Chemical Data'!AO513),'Chemical Data'!AO513,"")</f>
        <v>18.537551999999998</v>
      </c>
      <c r="AP94" s="4">
        <f>IF(ISNUMBER('Chemical Data'!AP513),'Chemical Data'!AP513,"")</f>
        <v>13.684895999999998</v>
      </c>
      <c r="AQ94" s="4">
        <f>IF(ISNUMBER('Chemical Data'!AQ513),'Chemical Data'!AQ513,"")</f>
        <v>7.9456319999999998</v>
      </c>
      <c r="AR94" s="4">
        <f>IF(ISNUMBER('Chemical Data'!AR513),'Chemical Data'!AR513,"")</f>
        <v>1602.6624000000002</v>
      </c>
      <c r="AS94" s="1">
        <f t="shared" ref="AS94" si="59">0.012*J94*R94</f>
        <v>64.972799999999992</v>
      </c>
    </row>
    <row r="95" spans="1:48" ht="14.25" customHeight="1" x14ac:dyDescent="0.3">
      <c r="A95" s="61">
        <f>'Chemical Data'!A514</f>
        <v>45595</v>
      </c>
      <c r="B95" s="74"/>
      <c r="C95" s="61" t="str">
        <f>'Chemical Data'!C514</f>
        <v>MP7</v>
      </c>
      <c r="D95" s="61"/>
      <c r="E95" s="61" t="str">
        <f>'Chemical Data'!E514</f>
        <v>MP7 from TMDL</v>
      </c>
      <c r="F95" s="61"/>
      <c r="G95" s="61"/>
      <c r="H95" s="61" t="str">
        <f>'Chemical Data'!H514</f>
        <v>Hedin and ICCD</v>
      </c>
      <c r="I95" s="74">
        <v>1.877</v>
      </c>
      <c r="J95" s="4" t="str">
        <f>IF(ISNUMBER('Chemical Data'!J514),'Chemical Data'!J514,"")</f>
        <v/>
      </c>
      <c r="K95" s="4" t="str">
        <f>IF(ISNUMBER('Chemical Data'!K514),'Chemical Data'!K514,"")</f>
        <v/>
      </c>
      <c r="L95" s="2">
        <f>IF(ISNUMBER('Chemical Data'!L514),'Chemical Data'!L514,"")</f>
        <v>6.1</v>
      </c>
      <c r="M95" s="2" t="str">
        <f>IF(ISNUMBER('Chemical Data'!M514),'Chemical Data'!M514,"")</f>
        <v/>
      </c>
      <c r="N95" s="4">
        <f>IF(ISNUMBER('Chemical Data'!N514),'Chemical Data'!N514,"")</f>
        <v>523</v>
      </c>
      <c r="O95" s="4" t="str">
        <f>IF(ISNUMBER('Chemical Data'!O514),'Chemical Data'!O514,"")</f>
        <v/>
      </c>
      <c r="P95" s="4">
        <f>IF(ISNUMBER('Chemical Data'!P514),'Chemical Data'!P514,"")</f>
        <v>12.6</v>
      </c>
      <c r="Q95" s="4" t="str">
        <f>IF(ISNUMBER('Chemical Data'!Q514),'Chemical Data'!Q514,"")</f>
        <v/>
      </c>
      <c r="R95" s="4" t="str">
        <f>IF(ISNUMBER('Chemical Data'!R514),'Chemical Data'!R514,"")</f>
        <v/>
      </c>
      <c r="S95" s="4" t="str">
        <f>IF(ISNUMBER('Chemical Data'!S514),'Chemical Data'!S514,"")</f>
        <v/>
      </c>
      <c r="T95" s="4" t="str">
        <f>IF(ISNUMBER('Chemical Data'!T514),'Chemical Data'!T514,"")</f>
        <v/>
      </c>
      <c r="U95" s="4"/>
      <c r="V95" s="4"/>
      <c r="W95" s="3" t="str">
        <f>IF(ISNUMBER('Chemical Data'!W514),'Chemical Data'!W514,"")</f>
        <v/>
      </c>
      <c r="X95" s="3" t="str">
        <f>IF(ISNUMBER('Chemical Data'!X514),'Chemical Data'!X514,"")</f>
        <v/>
      </c>
      <c r="Y95" s="3"/>
      <c r="Z95" s="3" t="str">
        <f>IF(ISNUMBER('Chemical Data'!Z514),'Chemical Data'!Z514,"")</f>
        <v/>
      </c>
      <c r="AA95" s="3" t="str">
        <f>IF(ISNUMBER('Chemical Data'!AA514),'Chemical Data'!AA514,"")</f>
        <v/>
      </c>
      <c r="AB95" s="4" t="str">
        <f>IF(ISNUMBER('Chemical Data'!AB514),'Chemical Data'!AB514,"")</f>
        <v/>
      </c>
      <c r="AC95" s="4" t="str">
        <f>IF(ISNUMBER('Chemical Data'!AC514),'Chemical Data'!AC514,"")</f>
        <v/>
      </c>
      <c r="AD95" s="4" t="str">
        <f>IF(ISNUMBER('Chemical Data'!AD514),'Chemical Data'!AD514,"")</f>
        <v/>
      </c>
      <c r="AE95" s="4" t="str">
        <f>IF(ISNUMBER('Chemical Data'!AE514),'Chemical Data'!AE514,"")</f>
        <v/>
      </c>
      <c r="AF95" s="4" t="str">
        <f>IF(ISNUMBER('Chemical Data'!AF514),'Chemical Data'!AF514,"")</f>
        <v/>
      </c>
      <c r="AG95" s="4" t="str">
        <f>IF(ISNUMBER('Chemical Data'!AG514),'Chemical Data'!AG514,"")</f>
        <v/>
      </c>
      <c r="AH95" s="4" t="str">
        <f>IF(ISNUMBER('Chemical Data'!AH514),'Chemical Data'!AH514,"")</f>
        <v/>
      </c>
      <c r="AI95" s="4" t="str">
        <f>IF(ISNUMBER('Chemical Data'!AI514),'Chemical Data'!AI514,"")</f>
        <v/>
      </c>
      <c r="AJ95" s="4" t="str">
        <f>IF(ISNUMBER('Chemical Data'!AJ514),'Chemical Data'!AJ514,"")</f>
        <v/>
      </c>
      <c r="AK95" s="4" t="str">
        <f>IF(ISNUMBER('Chemical Data'!AK514),'Chemical Data'!AK514,"")</f>
        <v/>
      </c>
      <c r="AL95" s="4" t="str">
        <f>IF(ISNUMBER('Chemical Data'!AL514),'Chemical Data'!AL514,"")</f>
        <v/>
      </c>
      <c r="AM95" s="4" t="str">
        <f>IF(ISNUMBER('Chemical Data'!AM514),'Chemical Data'!AM514,"")</f>
        <v/>
      </c>
      <c r="AN95" s="4" t="str">
        <f>IF(ISNUMBER('Chemical Data'!AN514),'Chemical Data'!AN514,"")</f>
        <v/>
      </c>
      <c r="AO95" s="4" t="str">
        <f>IF(ISNUMBER('Chemical Data'!AO514),'Chemical Data'!AO514,"")</f>
        <v/>
      </c>
      <c r="AP95" s="4" t="str">
        <f>IF(ISNUMBER('Chemical Data'!AP514),'Chemical Data'!AP514,"")</f>
        <v/>
      </c>
      <c r="AQ95" s="4" t="str">
        <f>IF(ISNUMBER('Chemical Data'!AQ514),'Chemical Data'!AQ514,"")</f>
        <v/>
      </c>
      <c r="AR95" s="4" t="str">
        <f>IF(ISNUMBER('Chemical Data'!AR514),'Chemical Data'!AR514,"")</f>
        <v/>
      </c>
      <c r="AS95" s="1"/>
    </row>
    <row r="96" spans="1:48" s="7" customFormat="1" x14ac:dyDescent="0.3">
      <c r="A96" s="45" t="s">
        <v>144</v>
      </c>
      <c r="J96" s="20">
        <f>AVERAGE(J93:J95)</f>
        <v>1305.5</v>
      </c>
      <c r="K96" s="20" t="e">
        <f>AVERAGE(K93:K94)</f>
        <v>#DIV/0!</v>
      </c>
      <c r="L96" s="20">
        <f t="shared" ref="L96:T96" si="60">AVERAGE(L93:L95)</f>
        <v>5.87</v>
      </c>
      <c r="M96" s="20">
        <f t="shared" si="60"/>
        <v>5.8</v>
      </c>
      <c r="N96" s="20">
        <f t="shared" si="60"/>
        <v>438</v>
      </c>
      <c r="O96" s="20" t="e">
        <f t="shared" si="60"/>
        <v>#DIV/0!</v>
      </c>
      <c r="P96" s="20">
        <f t="shared" si="60"/>
        <v>12.6</v>
      </c>
      <c r="Q96" s="20" t="e">
        <f t="shared" si="60"/>
        <v>#DIV/0!</v>
      </c>
      <c r="R96" s="20">
        <f t="shared" si="60"/>
        <v>15.5</v>
      </c>
      <c r="S96" s="20">
        <f t="shared" si="60"/>
        <v>8.5</v>
      </c>
      <c r="T96" s="20">
        <f t="shared" si="60"/>
        <v>-11.270974141813019</v>
      </c>
      <c r="U96" s="20"/>
      <c r="V96" s="20"/>
      <c r="W96" s="20">
        <f t="shared" ref="W96:AL96" si="61">AVERAGE(W93:W95)</f>
        <v>2.0614999999999997</v>
      </c>
      <c r="X96" s="20">
        <f t="shared" si="61"/>
        <v>1.2815000000000001</v>
      </c>
      <c r="Y96" s="20" t="e">
        <f t="shared" si="61"/>
        <v>#DIV/0!</v>
      </c>
      <c r="Z96" s="20">
        <f t="shared" si="61"/>
        <v>2.2474999999999996</v>
      </c>
      <c r="AA96" s="20">
        <f t="shared" si="61"/>
        <v>1.0234999999999999</v>
      </c>
      <c r="AB96" s="20">
        <f t="shared" si="61"/>
        <v>179.5</v>
      </c>
      <c r="AC96" s="20" t="e">
        <f t="shared" si="61"/>
        <v>#DIV/0!</v>
      </c>
      <c r="AD96" s="20" t="e">
        <f t="shared" si="61"/>
        <v>#DIV/0!</v>
      </c>
      <c r="AE96" s="20" t="e">
        <f t="shared" si="61"/>
        <v>#DIV/0!</v>
      </c>
      <c r="AF96" s="20" t="e">
        <f t="shared" si="61"/>
        <v>#DIV/0!</v>
      </c>
      <c r="AG96" s="20" t="e">
        <f t="shared" si="61"/>
        <v>#DIV/0!</v>
      </c>
      <c r="AH96" s="20" t="e">
        <f t="shared" si="61"/>
        <v>#DIV/0!</v>
      </c>
      <c r="AI96" s="20" t="e">
        <f t="shared" si="61"/>
        <v>#DIV/0!</v>
      </c>
      <c r="AJ96" s="20" t="e">
        <f t="shared" si="61"/>
        <v>#DIV/0!</v>
      </c>
      <c r="AK96" s="20">
        <f t="shared" si="61"/>
        <v>24</v>
      </c>
      <c r="AL96" s="20">
        <f t="shared" si="61"/>
        <v>298</v>
      </c>
      <c r="AM96" s="20"/>
      <c r="AN96" s="20">
        <f t="shared" ref="AN96:AS96" si="62">AVERAGE(AN93:AN95)</f>
        <v>109.13640000000001</v>
      </c>
      <c r="AO96" s="20">
        <f t="shared" si="62"/>
        <v>26.267063999999998</v>
      </c>
      <c r="AP96" s="20">
        <f t="shared" si="62"/>
        <v>37.215834000000001</v>
      </c>
      <c r="AQ96" s="20">
        <f t="shared" si="62"/>
        <v>14.695002000000001</v>
      </c>
      <c r="AR96" s="20">
        <f t="shared" si="62"/>
        <v>2302.1916000000001</v>
      </c>
      <c r="AS96" s="20">
        <f t="shared" si="62"/>
        <v>295.32119999999998</v>
      </c>
      <c r="AT96" s="20"/>
      <c r="AU96" s="20"/>
      <c r="AV96" s="20"/>
    </row>
    <row r="97" spans="1:47" ht="14.25" customHeight="1" x14ac:dyDescent="0.3">
      <c r="A97" s="61"/>
      <c r="B97" s="61"/>
      <c r="C97" s="61"/>
      <c r="D97" s="61"/>
      <c r="E97" s="61"/>
      <c r="F97" s="61"/>
      <c r="G97" s="61"/>
      <c r="H97" s="61"/>
      <c r="I97" s="74"/>
      <c r="J97" s="4"/>
      <c r="K97" s="4"/>
      <c r="L97" s="2"/>
      <c r="M97" s="2"/>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1"/>
    </row>
    <row r="98" spans="1:47" ht="14.25" customHeight="1" x14ac:dyDescent="0.3">
      <c r="A98" s="61">
        <f>'Chemical Data'!A505</f>
        <v>45169</v>
      </c>
      <c r="B98" s="61" t="str">
        <f>'Chemical Data'!B505</f>
        <v>016</v>
      </c>
      <c r="C98" s="61" t="str">
        <f>'Chemical Data'!C505</f>
        <v>MP6</v>
      </c>
      <c r="D98" s="61"/>
      <c r="E98" s="61" t="str">
        <f>'Chemical Data'!E505</f>
        <v>Penn Run upstream of MP7 trib</v>
      </c>
      <c r="F98" s="61"/>
      <c r="G98" s="61"/>
      <c r="H98" s="61" t="str">
        <f>'Chemical Data'!H505</f>
        <v>SFU</v>
      </c>
      <c r="I98" s="74">
        <v>1.8939999999999999</v>
      </c>
      <c r="J98" s="4">
        <f>IF(ISNUMBER('Chemical Data'!J505),'Chemical Data'!J505,"")</f>
        <v>661</v>
      </c>
      <c r="K98" s="4" t="str">
        <f>IF(ISNUMBER('Chemical Data'!K505),'Chemical Data'!K505,"")</f>
        <v/>
      </c>
      <c r="L98" s="2">
        <f>IF(ISNUMBER('Chemical Data'!L505),'Chemical Data'!L505,"")</f>
        <v>6.67</v>
      </c>
      <c r="M98" s="2">
        <f>IF(ISNUMBER('Chemical Data'!M505),'Chemical Data'!M505,"")</f>
        <v>6.4</v>
      </c>
      <c r="N98" s="4">
        <f>IF(ISNUMBER('Chemical Data'!N505),'Chemical Data'!N505,"")</f>
        <v>372</v>
      </c>
      <c r="O98" s="4">
        <f>IF(ISNUMBER('Chemical Data'!O505),'Chemical Data'!O505,"")</f>
        <v>361</v>
      </c>
      <c r="P98" s="4" t="str">
        <f>IF(ISNUMBER('Chemical Data'!P505),'Chemical Data'!P505,"")</f>
        <v/>
      </c>
      <c r="Q98" s="4" t="str">
        <f>IF(ISNUMBER('Chemical Data'!Q505),'Chemical Data'!Q505,"")</f>
        <v/>
      </c>
      <c r="R98" s="4">
        <f>IF(ISNUMBER('Chemical Data'!R505),'Chemical Data'!R505,"")</f>
        <v>62</v>
      </c>
      <c r="S98" s="4">
        <f>IF(ISNUMBER('Chemical Data'!S505),'Chemical Data'!S505,"")</f>
        <v>-42.8</v>
      </c>
      <c r="T98" s="4">
        <f>IF(ISNUMBER('Chemical Data'!T505),'Chemical Data'!T505,"")</f>
        <v>-52.90704018955249</v>
      </c>
      <c r="U98" s="4"/>
      <c r="V98" s="4"/>
      <c r="W98" s="3">
        <f>IF(ISNUMBER('Chemical Data'!W505),'Chemical Data'!W505,"")</f>
        <v>7</v>
      </c>
      <c r="X98" s="3">
        <f>IF(ISNUMBER('Chemical Data'!X505),'Chemical Data'!X505,"")</f>
        <v>4.5529999999999999</v>
      </c>
      <c r="Y98" s="3"/>
      <c r="Z98" s="3">
        <f>IF(ISNUMBER('Chemical Data'!Z505),'Chemical Data'!Z505,"")</f>
        <v>0.48599999999999999</v>
      </c>
      <c r="AA98" s="3">
        <f>IF(ISNUMBER('Chemical Data'!AA505),'Chemical Data'!AA505,"")</f>
        <v>0.51800000000000002</v>
      </c>
      <c r="AB98" s="4">
        <f>IF(ISNUMBER('Chemical Data'!AB505),'Chemical Data'!AB505,"")</f>
        <v>85.31</v>
      </c>
      <c r="AC98" s="4">
        <f>IF(ISNUMBER('Chemical Data'!AC505),'Chemical Data'!AC505,"")</f>
        <v>41.4</v>
      </c>
      <c r="AD98" s="4">
        <f>IF(ISNUMBER('Chemical Data'!AD505),'Chemical Data'!AD505,"")</f>
        <v>12.8</v>
      </c>
      <c r="AE98" s="4">
        <f>IF(ISNUMBER('Chemical Data'!AE505),'Chemical Data'!AE505,"")</f>
        <v>7.23</v>
      </c>
      <c r="AF98" s="4">
        <f>IF(ISNUMBER('Chemical Data'!AF505),'Chemical Data'!AF505,"")</f>
        <v>2.04</v>
      </c>
      <c r="AG98" s="4">
        <f>IF(ISNUMBER('Chemical Data'!AG505),'Chemical Data'!AG505,"")</f>
        <v>12.8</v>
      </c>
      <c r="AH98" s="4">
        <f>IF(ISNUMBER('Chemical Data'!AH505),'Chemical Data'!AH505,"")</f>
        <v>0.05</v>
      </c>
      <c r="AI98" s="4">
        <f>IF(ISNUMBER('Chemical Data'!AI505),'Chemical Data'!AI505,"")</f>
        <v>0.03</v>
      </c>
      <c r="AJ98" s="4">
        <f>IF(ISNUMBER('Chemical Data'!AJ505),'Chemical Data'!AJ505,"")</f>
        <v>0.2</v>
      </c>
      <c r="AK98" s="4"/>
      <c r="AL98" s="4"/>
      <c r="AM98" s="4" t="str">
        <f>IF(ISNUMBER('Chemical Data'!AM505),'Chemical Data'!AM505,"")</f>
        <v/>
      </c>
      <c r="AN98" s="4">
        <f>IF(ISNUMBER('Chemical Data'!AN505),'Chemical Data'!AN505,"")</f>
        <v>-339.4896</v>
      </c>
      <c r="AO98" s="4">
        <f>IF(ISNUMBER('Chemical Data'!AO505),'Chemical Data'!AO505,"")</f>
        <v>55.524000000000001</v>
      </c>
      <c r="AP98" s="4">
        <f>IF(ISNUMBER('Chemical Data'!AP505),'Chemical Data'!AP505,"")</f>
        <v>3.8549519999999999</v>
      </c>
      <c r="AQ98" s="4">
        <f>IF(ISNUMBER('Chemical Data'!AQ505),'Chemical Data'!AQ505,"")</f>
        <v>4.1087760000000006</v>
      </c>
      <c r="AR98" s="4">
        <f>IF(ISNUMBER('Chemical Data'!AR505),'Chemical Data'!AR505,"")</f>
        <v>676.67892000000006</v>
      </c>
      <c r="AS98" s="1">
        <f t="shared" si="17"/>
        <v>491.78400000000005</v>
      </c>
    </row>
    <row r="99" spans="1:47" ht="14.25" customHeight="1" x14ac:dyDescent="0.3">
      <c r="A99" s="61">
        <v>45352</v>
      </c>
      <c r="B99" s="61"/>
      <c r="C99" s="61" t="s">
        <v>352</v>
      </c>
      <c r="D99" s="61"/>
      <c r="E99" s="61" t="s">
        <v>307</v>
      </c>
      <c r="F99" s="61"/>
      <c r="G99" s="61"/>
      <c r="H99" s="61" t="s">
        <v>338</v>
      </c>
      <c r="I99" s="74"/>
      <c r="J99" s="4">
        <f>9.09*449</f>
        <v>4081.41</v>
      </c>
      <c r="K99" s="4" t="s">
        <v>96</v>
      </c>
      <c r="L99" s="2">
        <v>6.85</v>
      </c>
      <c r="M99" s="2">
        <v>6.4</v>
      </c>
      <c r="N99" s="4">
        <v>190</v>
      </c>
      <c r="O99" s="4"/>
      <c r="P99" s="4">
        <v>6.6</v>
      </c>
      <c r="Q99" s="4"/>
      <c r="R99" s="4">
        <v>36.4</v>
      </c>
      <c r="S99" s="4">
        <v>-21.2</v>
      </c>
      <c r="T99" s="4" cm="1">
        <f t="array" ref="T99">_xlfn.IFS(L99&lt;=5,IF(ISNUMBER(X99)=TRUE,X99*1.79+AA99*1.8+Z99*5.56+50000*(10^-L99)-R99,1.79+AA99*1.8+Z99*5.56+50000*(10^-L99)-R99),L99&gt;5,IF(ISNUMBER(X99)=TRUE,X99*1.79+AA99*1.8+50000*(10^-L99)-R99,AA99*1.8+50000*(10^-L99)-R99))</f>
        <v>-34.375887312276888</v>
      </c>
      <c r="U99" s="4"/>
      <c r="V99" s="4"/>
      <c r="W99" s="3">
        <v>2.38</v>
      </c>
      <c r="X99" s="3">
        <v>0.97499999999999998</v>
      </c>
      <c r="Y99" s="3"/>
      <c r="Z99" s="3">
        <v>0.5</v>
      </c>
      <c r="AA99" s="3">
        <v>0.151</v>
      </c>
      <c r="AB99" s="4">
        <v>40.200000000000003</v>
      </c>
      <c r="AC99" s="4"/>
      <c r="AD99" s="4"/>
      <c r="AE99" s="4"/>
      <c r="AF99" s="4"/>
      <c r="AG99" s="4"/>
      <c r="AH99" s="4"/>
      <c r="AI99" s="4"/>
      <c r="AJ99" s="4"/>
      <c r="AK99" s="4" t="s">
        <v>363</v>
      </c>
      <c r="AL99" s="4">
        <v>138</v>
      </c>
      <c r="AM99" s="4"/>
      <c r="AN99" s="1">
        <f>S99*J99*0.012</f>
        <v>-1038.310704</v>
      </c>
      <c r="AO99" s="1">
        <f>W99*J99*0.012</f>
        <v>116.56506959999999</v>
      </c>
      <c r="AP99" s="1">
        <f>Z99*J99*0.012</f>
        <v>24.48846</v>
      </c>
      <c r="AQ99" s="1">
        <f>AA99*J99*0.012</f>
        <v>7.3955149200000001</v>
      </c>
      <c r="AR99" s="1">
        <f>AB99*J99*0.012</f>
        <v>1968.8721840000001</v>
      </c>
      <c r="AS99" s="1">
        <f t="shared" si="17"/>
        <v>1782.7598879999998</v>
      </c>
    </row>
    <row r="100" spans="1:47" s="104" customFormat="1" ht="14.25" customHeight="1" x14ac:dyDescent="0.3">
      <c r="A100" s="45" t="s">
        <v>144</v>
      </c>
      <c r="B100" s="103"/>
      <c r="C100" s="102"/>
      <c r="D100" s="102"/>
      <c r="E100" s="102"/>
      <c r="F100" s="102"/>
      <c r="G100" s="102"/>
      <c r="H100" s="102"/>
      <c r="I100" s="103"/>
      <c r="J100" s="19">
        <f>AVERAGE(J98:J99)</f>
        <v>2371.2049999999999</v>
      </c>
      <c r="K100" s="19"/>
      <c r="L100" s="19">
        <f t="shared" ref="L100" si="63">AVERAGE(L98:L99)</f>
        <v>6.76</v>
      </c>
      <c r="M100" s="19">
        <f t="shared" ref="M100" si="64">AVERAGE(M98:M99)</f>
        <v>6.4</v>
      </c>
      <c r="N100" s="19">
        <f t="shared" ref="N100" si="65">AVERAGE(N98:N99)</f>
        <v>281</v>
      </c>
      <c r="O100" s="19"/>
      <c r="P100" s="19"/>
      <c r="Q100" s="19"/>
      <c r="R100" s="19">
        <f t="shared" ref="R100" si="66">AVERAGE(R98:R99)</f>
        <v>49.2</v>
      </c>
      <c r="S100" s="19">
        <f t="shared" ref="S100" si="67">AVERAGE(S98:S99)</f>
        <v>-32</v>
      </c>
      <c r="T100" s="19">
        <f t="shared" ref="T100" si="68">AVERAGE(T98:T99)</f>
        <v>-43.641463750914689</v>
      </c>
      <c r="U100" s="19"/>
      <c r="V100" s="19"/>
      <c r="W100" s="19">
        <f t="shared" ref="W100" si="69">AVERAGE(W98:W99)</f>
        <v>4.6899999999999995</v>
      </c>
      <c r="X100" s="19">
        <f t="shared" ref="X100" si="70">AVERAGE(X98:X99)</f>
        <v>2.7639999999999998</v>
      </c>
      <c r="Y100" s="19"/>
      <c r="Z100" s="19">
        <f t="shared" ref="Z100" si="71">AVERAGE(Z98:Z99)</f>
        <v>0.49299999999999999</v>
      </c>
      <c r="AA100" s="19">
        <f t="shared" ref="AA100" si="72">AVERAGE(AA98:AA99)</f>
        <v>0.33450000000000002</v>
      </c>
      <c r="AB100" s="19">
        <f t="shared" ref="AB100" si="73">AVERAGE(AB98:AB99)</f>
        <v>62.755000000000003</v>
      </c>
      <c r="AC100" s="19"/>
      <c r="AD100" s="19"/>
      <c r="AE100" s="19"/>
      <c r="AF100" s="19"/>
      <c r="AG100" s="19"/>
      <c r="AH100" s="19"/>
      <c r="AI100" s="19"/>
      <c r="AJ100" s="19"/>
      <c r="AK100" s="19" t="e">
        <f t="shared" ref="AK100" si="74">AVERAGE(AK98:AK99)</f>
        <v>#DIV/0!</v>
      </c>
      <c r="AL100" s="19">
        <f t="shared" ref="AL100" si="75">AVERAGE(AL98:AL99)</f>
        <v>138</v>
      </c>
      <c r="AM100" s="19"/>
      <c r="AN100" s="19">
        <f t="shared" ref="AN100" si="76">AVERAGE(AN98:AN99)</f>
        <v>-688.90015199999993</v>
      </c>
      <c r="AO100" s="19">
        <f t="shared" ref="AO100" si="77">AVERAGE(AO98:AO99)</f>
        <v>86.044534799999994</v>
      </c>
      <c r="AP100" s="19">
        <f t="shared" ref="AP100" si="78">AVERAGE(AP98:AP99)</f>
        <v>14.171706</v>
      </c>
      <c r="AQ100" s="19">
        <f t="shared" ref="AQ100" si="79">AVERAGE(AQ98:AQ99)</f>
        <v>5.7521454600000004</v>
      </c>
      <c r="AR100" s="19">
        <f t="shared" ref="AR100" si="80">AVERAGE(AR98:AR99)</f>
        <v>1322.7755520000001</v>
      </c>
      <c r="AS100" s="19">
        <f t="shared" ref="AS100" si="81">AVERAGE(AS98:AS99)</f>
        <v>1137.2719439999998</v>
      </c>
    </row>
    <row r="101" spans="1:47" ht="14.25" customHeight="1" x14ac:dyDescent="0.3">
      <c r="A101" s="61"/>
      <c r="B101" s="61"/>
      <c r="C101" s="61"/>
      <c r="D101" s="61"/>
      <c r="E101" s="61"/>
      <c r="F101" s="61"/>
      <c r="G101" s="61"/>
      <c r="H101" s="61"/>
      <c r="I101" s="74"/>
      <c r="J101" s="4"/>
      <c r="K101" s="4"/>
      <c r="L101" s="2"/>
      <c r="M101" s="2"/>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1"/>
    </row>
    <row r="102" spans="1:47" ht="14.25" customHeight="1" x14ac:dyDescent="0.3">
      <c r="A102" s="61">
        <f>'Chemical Data'!A447</f>
        <v>45098</v>
      </c>
      <c r="B102" s="61" t="str">
        <f>'Chemical Data'!B447</f>
        <v>026</v>
      </c>
      <c r="C102" s="61" t="str">
        <f>'Chemical Data'!C447</f>
        <v>PD1</v>
      </c>
      <c r="D102" s="61"/>
      <c r="E102" s="61" t="str">
        <f>'Chemical Data'!E447</f>
        <v>Penn Run AMD -1 North side</v>
      </c>
      <c r="F102" s="61"/>
      <c r="G102" s="61"/>
      <c r="H102" s="61" t="str">
        <f>'Chemical Data'!H447</f>
        <v>Hedin</v>
      </c>
      <c r="I102" s="74"/>
      <c r="J102" s="4">
        <f>IF(ISNUMBER('Chemical Data'!J447),'Chemical Data'!J447,"")</f>
        <v>2.6</v>
      </c>
      <c r="K102" s="4" t="s">
        <v>96</v>
      </c>
      <c r="L102" s="2">
        <f>IF(ISNUMBER('Chemical Data'!L447),'Chemical Data'!L447,"")</f>
        <v>6.38</v>
      </c>
      <c r="M102" s="2">
        <f>IF(ISNUMBER('Chemical Data'!M447),'Chemical Data'!M447,"")</f>
        <v>5.9</v>
      </c>
      <c r="N102" s="4">
        <f>IF(ISNUMBER('Chemical Data'!N447),'Chemical Data'!N447,"")</f>
        <v>618</v>
      </c>
      <c r="O102" s="4">
        <f>IF(ISNUMBER('Chemical Data'!O447),'Chemical Data'!O447,"")</f>
        <v>675</v>
      </c>
      <c r="P102" s="4">
        <f>IF(ISNUMBER('Chemical Data'!P447),'Chemical Data'!P447,"")</f>
        <v>12.4</v>
      </c>
      <c r="Q102" s="4">
        <f>IF(ISNUMBER('Chemical Data'!Q447),'Chemical Data'!Q447,"")</f>
        <v>56</v>
      </c>
      <c r="R102" s="4">
        <f>IF(ISNUMBER('Chemical Data'!R447),'Chemical Data'!R447,"")</f>
        <v>22.4</v>
      </c>
      <c r="S102" s="4">
        <f>IF(ISNUMBER('Chemical Data'!S447),'Chemical Data'!S447,"")</f>
        <v>39.6</v>
      </c>
      <c r="T102" s="4">
        <f>IF(ISNUMBER('Chemical Data'!T447),'Chemical Data'!T447,"")</f>
        <v>53.43397346917353</v>
      </c>
      <c r="U102" s="4"/>
      <c r="V102" s="4"/>
      <c r="W102" s="4">
        <f>IF(ISNUMBER('Chemical Data'!W447),'Chemical Data'!W447,"")</f>
        <v>43.1</v>
      </c>
      <c r="X102" s="4">
        <f>IF(ISNUMBER('Chemical Data'!X447),'Chemical Data'!X447,"")</f>
        <v>39.347000000000001</v>
      </c>
      <c r="Y102" s="3">
        <f>IF(W102-X102&lt;0,0,W102-X102)</f>
        <v>3.7530000000000001</v>
      </c>
      <c r="Z102" s="3">
        <f>IF(ISNUMBER('Chemical Data'!Z447),'Chemical Data'!Z447,"")</f>
        <v>0.3</v>
      </c>
      <c r="AA102" s="4">
        <f>IF(ISNUMBER('Chemical Data'!AA447),'Chemical Data'!AA447,"")</f>
        <v>2.99</v>
      </c>
      <c r="AB102" s="4" t="str">
        <f>IF(ISNUMBER('Chemical Data'!AB447),'Chemical Data'!AB447,"")</f>
        <v/>
      </c>
      <c r="AC102" s="4">
        <f>IF(ISNUMBER('Chemical Data'!AC447),'Chemical Data'!AC447,"")</f>
        <v>77.099999999999994</v>
      </c>
      <c r="AD102" s="4">
        <f>IF(ISNUMBER('Chemical Data'!AD447),'Chemical Data'!AD447,"")</f>
        <v>30</v>
      </c>
      <c r="AE102" s="4">
        <f>IF(ISNUMBER('Chemical Data'!AE447),'Chemical Data'!AE447,"")</f>
        <v>2.92</v>
      </c>
      <c r="AF102" s="4">
        <f>IF(ISNUMBER('Chemical Data'!AF447),'Chemical Data'!AF447,"")</f>
        <v>2.19</v>
      </c>
      <c r="AG102" s="4">
        <f>IF(ISNUMBER('Chemical Data'!AG447),'Chemical Data'!AG447,"")</f>
        <v>4</v>
      </c>
      <c r="AH102" s="4">
        <f>IF(ISNUMBER('Chemical Data'!AH447),'Chemical Data'!AH447,"")</f>
        <v>0.05</v>
      </c>
      <c r="AI102" s="4">
        <f>IF(ISNUMBER('Chemical Data'!AI447),'Chemical Data'!AI447,"")</f>
        <v>0.03</v>
      </c>
      <c r="AJ102" s="4">
        <f>IF(ISNUMBER('Chemical Data'!AJ447),'Chemical Data'!AJ447,"")</f>
        <v>0.2</v>
      </c>
      <c r="AK102" s="4"/>
      <c r="AL102" s="4"/>
      <c r="AM102" s="4" t="str">
        <f>IF(ISNUMBER('Chemical Data'!AM447),'Chemical Data'!AM447,"")</f>
        <v/>
      </c>
      <c r="AN102" s="4">
        <f>IF(ISNUMBER('Chemical Data'!AN447),'Chemical Data'!AN447,"")</f>
        <v>1.2355200000000002</v>
      </c>
      <c r="AO102" s="4">
        <f>IF(ISNUMBER('Chemical Data'!AO447),'Chemical Data'!AO447,"")</f>
        <v>1.3447200000000001</v>
      </c>
      <c r="AP102" s="4">
        <f>IF(ISNUMBER('Chemical Data'!AP447),'Chemical Data'!AP447,"")</f>
        <v>9.3600000000000003E-3</v>
      </c>
      <c r="AQ102" s="4">
        <f>IF(ISNUMBER('Chemical Data'!AQ447),'Chemical Data'!AQ447,"")</f>
        <v>9.328800000000001E-2</v>
      </c>
      <c r="AR102" s="4">
        <f>IF(ISNUMBER('Chemical Data'!AR447),'Chemical Data'!AR447,"")</f>
        <v>0</v>
      </c>
      <c r="AS102" s="1">
        <f t="shared" si="17"/>
        <v>0.69888000000000006</v>
      </c>
    </row>
    <row r="103" spans="1:47" ht="14.25" customHeight="1" x14ac:dyDescent="0.3">
      <c r="A103" s="61">
        <f>'Chemical Data'!A448</f>
        <v>45169</v>
      </c>
      <c r="B103" s="61" t="str">
        <f>'Chemical Data'!B448</f>
        <v>012</v>
      </c>
      <c r="C103" s="61" t="str">
        <f>'Chemical Data'!C448</f>
        <v>PD1</v>
      </c>
      <c r="D103" s="61"/>
      <c r="E103" s="61" t="str">
        <f>'Chemical Data'!E448</f>
        <v>Penn Run AMD -1 North side</v>
      </c>
      <c r="F103" s="61"/>
      <c r="G103" s="61"/>
      <c r="H103" s="61" t="str">
        <f>'Chemical Data'!H448</f>
        <v>SFU</v>
      </c>
      <c r="I103" s="74">
        <v>1.964</v>
      </c>
      <c r="J103" s="4">
        <f>IF(ISNUMBER('Chemical Data'!J448),'Chemical Data'!J448,"")</f>
        <v>1.3</v>
      </c>
      <c r="K103" s="4" t="s">
        <v>96</v>
      </c>
      <c r="L103" s="2">
        <f>IF(ISNUMBER('Chemical Data'!L448),'Chemical Data'!L448,"")</f>
        <v>6.14</v>
      </c>
      <c r="M103" s="2">
        <f>IF(ISNUMBER('Chemical Data'!M448),'Chemical Data'!M448,"")</f>
        <v>5.9</v>
      </c>
      <c r="N103" s="4">
        <f>IF(ISNUMBER('Chemical Data'!N448),'Chemical Data'!N448,"")</f>
        <v>718</v>
      </c>
      <c r="O103" s="4">
        <f>IF(ISNUMBER('Chemical Data'!O448),'Chemical Data'!O448,"")</f>
        <v>664</v>
      </c>
      <c r="P103" s="4" t="str">
        <f>IF(ISNUMBER('Chemical Data'!P448),'Chemical Data'!P448,"")</f>
        <v/>
      </c>
      <c r="Q103" s="4" t="str">
        <f>IF(ISNUMBER('Chemical Data'!Q448),'Chemical Data'!Q448,"")</f>
        <v/>
      </c>
      <c r="R103" s="4">
        <f>IF(ISNUMBER('Chemical Data'!R448),'Chemical Data'!R448,"")</f>
        <v>30.4</v>
      </c>
      <c r="S103" s="4">
        <f>IF(ISNUMBER('Chemical Data'!S448),'Chemical Data'!S448,"")</f>
        <v>51.8</v>
      </c>
      <c r="T103" s="4">
        <f>IF(ISNUMBER('Chemical Data'!T448),'Chemical Data'!T448,"")</f>
        <v>49.17394179800376</v>
      </c>
      <c r="U103" s="4"/>
      <c r="V103" s="4"/>
      <c r="W103" s="4">
        <f>IF(ISNUMBER('Chemical Data'!W448),'Chemical Data'!W448,"")</f>
        <v>46.3</v>
      </c>
      <c r="X103" s="4">
        <f>IF(ISNUMBER('Chemical Data'!X448),'Chemical Data'!X448,"")</f>
        <v>41.468000000000004</v>
      </c>
      <c r="Y103" s="3">
        <f t="shared" ref="Y103:Y106" si="82">IF(W103-X103&lt;0,0,W103-X103)</f>
        <v>4.8319999999999936</v>
      </c>
      <c r="Z103" s="3">
        <f>IF(ISNUMBER('Chemical Data'!Z448),'Chemical Data'!Z448,"")</f>
        <v>0.3</v>
      </c>
      <c r="AA103" s="4">
        <f>IF(ISNUMBER('Chemical Data'!AA448),'Chemical Data'!AA448,"")</f>
        <v>2.95</v>
      </c>
      <c r="AB103" s="4">
        <f>IF(ISNUMBER('Chemical Data'!AB448),'Chemical Data'!AB448,"")</f>
        <v>320</v>
      </c>
      <c r="AC103" s="4">
        <f>IF(ISNUMBER('Chemical Data'!AC448),'Chemical Data'!AC448,"")</f>
        <v>77.2</v>
      </c>
      <c r="AD103" s="4">
        <f>IF(ISNUMBER('Chemical Data'!AD448),'Chemical Data'!AD448,"")</f>
        <v>29.4</v>
      </c>
      <c r="AE103" s="4">
        <f>IF(ISNUMBER('Chemical Data'!AE448),'Chemical Data'!AE448,"")</f>
        <v>3</v>
      </c>
      <c r="AF103" s="4">
        <f>IF(ISNUMBER('Chemical Data'!AF448),'Chemical Data'!AF448,"")</f>
        <v>2.16</v>
      </c>
      <c r="AG103" s="4">
        <f>IF(ISNUMBER('Chemical Data'!AG448),'Chemical Data'!AG448,"")</f>
        <v>4</v>
      </c>
      <c r="AH103" s="4">
        <f>IF(ISNUMBER('Chemical Data'!AH448),'Chemical Data'!AH448,"")</f>
        <v>0.05</v>
      </c>
      <c r="AI103" s="4">
        <f>IF(ISNUMBER('Chemical Data'!AI448),'Chemical Data'!AI448,"")</f>
        <v>0.03</v>
      </c>
      <c r="AJ103" s="4">
        <f>IF(ISNUMBER('Chemical Data'!AJ448),'Chemical Data'!AJ448,"")</f>
        <v>0.2</v>
      </c>
      <c r="AK103" s="4"/>
      <c r="AL103" s="4"/>
      <c r="AM103" s="4" t="str">
        <f>IF(ISNUMBER('Chemical Data'!AM448),'Chemical Data'!AM448,"")</f>
        <v/>
      </c>
      <c r="AN103" s="4">
        <f>IF(ISNUMBER('Chemical Data'!AN448),'Chemical Data'!AN448,"")</f>
        <v>0.80808000000000002</v>
      </c>
      <c r="AO103" s="4">
        <f>IF(ISNUMBER('Chemical Data'!AO448),'Chemical Data'!AO448,"")</f>
        <v>0.72228000000000003</v>
      </c>
      <c r="AP103" s="4">
        <f>IF(ISNUMBER('Chemical Data'!AP448),'Chemical Data'!AP448,"")</f>
        <v>4.6800000000000001E-3</v>
      </c>
      <c r="AQ103" s="4">
        <f>IF(ISNUMBER('Chemical Data'!AQ448),'Chemical Data'!AQ448,"")</f>
        <v>4.6020000000000005E-2</v>
      </c>
      <c r="AR103" s="4">
        <f>IF(ISNUMBER('Chemical Data'!AR448),'Chemical Data'!AR448,"")</f>
        <v>4.992</v>
      </c>
      <c r="AS103" s="1">
        <f t="shared" si="17"/>
        <v>0.47423999999999999</v>
      </c>
    </row>
    <row r="104" spans="1:47" ht="14.25" customHeight="1" x14ac:dyDescent="0.3">
      <c r="A104" s="61">
        <v>45352</v>
      </c>
      <c r="B104" s="61"/>
      <c r="C104" s="61" t="s">
        <v>285</v>
      </c>
      <c r="D104" s="61"/>
      <c r="E104" s="61" t="s">
        <v>287</v>
      </c>
      <c r="F104" s="61"/>
      <c r="G104" s="61"/>
      <c r="H104" s="61" t="s">
        <v>218</v>
      </c>
      <c r="I104" s="74"/>
      <c r="J104" s="4">
        <v>2.79</v>
      </c>
      <c r="K104" s="4" t="s">
        <v>96</v>
      </c>
      <c r="L104" s="2">
        <v>6.25</v>
      </c>
      <c r="M104" s="2">
        <f>M148</f>
        <v>5.8</v>
      </c>
      <c r="N104" s="4">
        <v>588</v>
      </c>
      <c r="O104" s="4"/>
      <c r="P104" s="4">
        <v>8.6</v>
      </c>
      <c r="Q104" s="4"/>
      <c r="R104" s="4">
        <f>R148</f>
        <v>39</v>
      </c>
      <c r="S104" s="4">
        <f t="shared" ref="S104:AB104" si="83">S148</f>
        <v>48.6</v>
      </c>
      <c r="T104" s="4">
        <f t="shared" si="83"/>
        <v>39.013341548545952</v>
      </c>
      <c r="U104" s="4"/>
      <c r="V104" s="4"/>
      <c r="W104" s="4">
        <f t="shared" si="83"/>
        <v>42.887</v>
      </c>
      <c r="X104" s="4">
        <f t="shared" si="83"/>
        <v>40.225000000000001</v>
      </c>
      <c r="Y104" s="3">
        <f>IF(W104-X104&lt;0,0,W104-X104)</f>
        <v>2.661999999999999</v>
      </c>
      <c r="Z104" s="3">
        <f t="shared" si="83"/>
        <v>0.5</v>
      </c>
      <c r="AA104" s="4">
        <f t="shared" si="83"/>
        <v>3.32</v>
      </c>
      <c r="AB104" s="4">
        <f t="shared" si="83"/>
        <v>326</v>
      </c>
      <c r="AC104" s="4"/>
      <c r="AD104" s="4"/>
      <c r="AE104" s="4"/>
      <c r="AF104" s="4"/>
      <c r="AG104" s="4"/>
      <c r="AH104" s="4"/>
      <c r="AI104" s="4"/>
      <c r="AJ104" s="4"/>
      <c r="AK104" s="4"/>
      <c r="AL104" s="4"/>
      <c r="AM104" s="4"/>
      <c r="AN104" s="1">
        <f>S104*J104*0.012</f>
        <v>1.6271279999999999</v>
      </c>
      <c r="AO104" s="1">
        <f>W104*J104*0.012</f>
        <v>1.4358567600000001</v>
      </c>
      <c r="AP104" s="1">
        <f>Z104*J104*0.012</f>
        <v>1.6740000000000001E-2</v>
      </c>
      <c r="AQ104" s="1">
        <f>AA104*J104*0.012</f>
        <v>0.11115360000000001</v>
      </c>
      <c r="AR104" s="1">
        <f>AB104*J104*0.012</f>
        <v>10.914479999999999</v>
      </c>
      <c r="AS104" s="1">
        <f t="shared" si="17"/>
        <v>1.3057200000000002</v>
      </c>
    </row>
    <row r="105" spans="1:47" ht="14.25" customHeight="1" x14ac:dyDescent="0.3">
      <c r="A105" s="61">
        <v>45366</v>
      </c>
      <c r="B105" s="61"/>
      <c r="C105" s="61" t="s">
        <v>285</v>
      </c>
      <c r="D105" s="61"/>
      <c r="E105" s="61" t="s">
        <v>287</v>
      </c>
      <c r="F105" s="61"/>
      <c r="G105" s="61"/>
      <c r="H105" s="61" t="s">
        <v>218</v>
      </c>
      <c r="I105" s="74"/>
      <c r="J105" s="4">
        <v>3</v>
      </c>
      <c r="K105" s="4" t="s">
        <v>96</v>
      </c>
      <c r="L105" s="2">
        <v>6.16</v>
      </c>
      <c r="M105" s="2">
        <v>5.9</v>
      </c>
      <c r="N105" s="4">
        <v>597</v>
      </c>
      <c r="O105" s="4"/>
      <c r="P105" s="4"/>
      <c r="Q105" s="4"/>
      <c r="R105" s="4">
        <v>29.2</v>
      </c>
      <c r="S105" s="4">
        <v>32.6</v>
      </c>
      <c r="T105" s="4" cm="1">
        <f t="array" ref="T105">_xlfn.IFS(L105&lt;=5,IF(ISNUMBER(X105)=TRUE,X105*1.79+AA105*1.8+Z105*5.56+50000*(10^-L105)-R105,1.79+AA105*1.8+Z105*5.56+50000*(10^-L105)-R105),L105&gt;5,IF(ISNUMBER(X105)=TRUE,X105*1.79+AA105*1.8+50000*(10^-L105)-R105,AA105*1.8+50000*(10^-L105)-R105))</f>
        <v>35.399471548545947</v>
      </c>
      <c r="U105" s="4"/>
      <c r="V105" s="4"/>
      <c r="W105" s="4">
        <v>42.329000000000001</v>
      </c>
      <c r="X105" s="4">
        <v>33.231999999999999</v>
      </c>
      <c r="Y105" s="3">
        <f t="shared" si="82"/>
        <v>9.0970000000000013</v>
      </c>
      <c r="Z105" s="52">
        <v>0.05</v>
      </c>
      <c r="AA105" s="4">
        <v>2.8220000000000001</v>
      </c>
      <c r="AB105" s="4">
        <v>268.89999999999998</v>
      </c>
      <c r="AC105" s="4"/>
      <c r="AD105" s="4"/>
      <c r="AE105" s="4"/>
      <c r="AF105" s="4"/>
      <c r="AG105" s="4"/>
      <c r="AH105" s="4"/>
      <c r="AI105" s="4"/>
      <c r="AJ105" s="4"/>
      <c r="AK105" s="4">
        <v>29</v>
      </c>
      <c r="AL105" s="4">
        <v>432</v>
      </c>
      <c r="AM105" s="4"/>
      <c r="AN105" s="1">
        <f>S105*J105*0.012</f>
        <v>1.1736000000000002</v>
      </c>
      <c r="AO105" s="1">
        <f>W105*J105*0.012</f>
        <v>1.523844</v>
      </c>
      <c r="AP105" s="1">
        <f>Z105*J105*0.012</f>
        <v>1.8000000000000004E-3</v>
      </c>
      <c r="AQ105" s="1">
        <f>AA105*J105*0.012</f>
        <v>0.10159200000000002</v>
      </c>
      <c r="AR105" s="1">
        <f>AB105*J105*0.012</f>
        <v>9.6803999999999988</v>
      </c>
      <c r="AS105" s="1">
        <f t="shared" si="17"/>
        <v>1.0512000000000001</v>
      </c>
    </row>
    <row r="106" spans="1:47" ht="14.25" customHeight="1" x14ac:dyDescent="0.3">
      <c r="A106" s="61">
        <v>45392</v>
      </c>
      <c r="B106" s="74">
        <v>1</v>
      </c>
      <c r="C106" s="61" t="s">
        <v>285</v>
      </c>
      <c r="D106" s="61"/>
      <c r="E106" s="61" t="s">
        <v>287</v>
      </c>
      <c r="F106" s="61"/>
      <c r="G106" s="61"/>
      <c r="H106" s="61" t="s">
        <v>218</v>
      </c>
      <c r="I106" s="74"/>
      <c r="J106" s="4">
        <f>IF(ISNUMBER('Chemical Data'!J451),'Chemical Data'!J451,"")</f>
        <v>2.77</v>
      </c>
      <c r="K106" s="4" t="s">
        <v>96</v>
      </c>
      <c r="L106" s="2">
        <f>IF(ISNUMBER('Chemical Data'!L451),'Chemical Data'!L451,"")</f>
        <v>6.07</v>
      </c>
      <c r="M106" s="2">
        <f>IF(ISNUMBER('Chemical Data'!M451),'Chemical Data'!M451,"")</f>
        <v>6</v>
      </c>
      <c r="N106" s="4">
        <f>IF(ISNUMBER('Chemical Data'!N451),'Chemical Data'!N451,"")</f>
        <v>649</v>
      </c>
      <c r="O106" s="4" t="str">
        <f>IF(ISNUMBER('Chemical Data'!O451),'Chemical Data'!O451,"")</f>
        <v/>
      </c>
      <c r="P106" s="4">
        <f>IF(ISNUMBER('Chemical Data'!P451),'Chemical Data'!P451,"")</f>
        <v>11.1</v>
      </c>
      <c r="Q106" s="4">
        <f>IF(ISNUMBER('Chemical Data'!Q451),'Chemical Data'!Q451,"")</f>
        <v>44</v>
      </c>
      <c r="R106" s="4">
        <f>IF(ISNUMBER('Chemical Data'!R451),'Chemical Data'!R451,"")</f>
        <v>28</v>
      </c>
      <c r="S106" s="4">
        <f>IF(ISNUMBER('Chemical Data'!S451),'Chemical Data'!S451,"")</f>
        <v>24.2</v>
      </c>
      <c r="T106" s="4">
        <f>IF(ISNUMBER('Chemical Data'!T451),'Chemical Data'!T451,"")</f>
        <v>14.735296901910118</v>
      </c>
      <c r="U106" s="4"/>
      <c r="V106" s="4"/>
      <c r="W106" s="4">
        <f>IF(ISNUMBER('Chemical Data'!W451),'Chemical Data'!W451,"")</f>
        <v>35.116</v>
      </c>
      <c r="X106" s="4">
        <f>IF(ISNUMBER('Chemical Data'!X451),'Chemical Data'!X451,"")</f>
        <v>30.225999999999999</v>
      </c>
      <c r="Y106" s="3">
        <f t="shared" si="82"/>
        <v>4.8900000000000006</v>
      </c>
      <c r="Z106" s="3">
        <f>IF(ISNUMBER('Chemical Data'!Z451),'Chemical Data'!Z451,"")</f>
        <v>0.5</v>
      </c>
      <c r="AA106" s="4">
        <f>IF(ISNUMBER('Chemical Data'!AA451),'Chemical Data'!AA451,"")</f>
        <v>2.5489999999999999</v>
      </c>
      <c r="AB106" s="4">
        <f>IF(ISNUMBER('Chemical Data'!AB451),'Chemical Data'!AB451,"")</f>
        <v>278.60000000000002</v>
      </c>
      <c r="AC106" s="4" t="str">
        <f>IF(ISNUMBER('Chemical Data'!AC451),'Chemical Data'!AC451,"")</f>
        <v/>
      </c>
      <c r="AD106" s="4" t="str">
        <f>IF(ISNUMBER('Chemical Data'!AD451),'Chemical Data'!AD451,"")</f>
        <v/>
      </c>
      <c r="AE106" s="4" t="str">
        <f>IF(ISNUMBER('Chemical Data'!AE451),'Chemical Data'!AE451,"")</f>
        <v/>
      </c>
      <c r="AF106" s="4" t="str">
        <f>IF(ISNUMBER('Chemical Data'!AF451),'Chemical Data'!AF451,"")</f>
        <v/>
      </c>
      <c r="AG106" s="4" t="str">
        <f>IF(ISNUMBER('Chemical Data'!AG451),'Chemical Data'!AG451,"")</f>
        <v/>
      </c>
      <c r="AH106" s="4" t="str">
        <f>IF(ISNUMBER('Chemical Data'!AH451),'Chemical Data'!AH451,"")</f>
        <v/>
      </c>
      <c r="AI106" s="4" t="str">
        <f>IF(ISNUMBER('Chemical Data'!AI451),'Chemical Data'!AI451,"")</f>
        <v/>
      </c>
      <c r="AJ106" s="4" t="str">
        <f>IF(ISNUMBER('Chemical Data'!AJ451),'Chemical Data'!AJ451,"")</f>
        <v/>
      </c>
      <c r="AK106" s="4">
        <f>IF(ISNUMBER('Chemical Data'!AK451),'Chemical Data'!AK451,"")</f>
        <v>20</v>
      </c>
      <c r="AL106" s="4">
        <f>IF(ISNUMBER('Chemical Data'!AL451),'Chemical Data'!AL451,"")</f>
        <v>448</v>
      </c>
      <c r="AM106" s="4" t="str">
        <f>IF(ISNUMBER('Chemical Data'!AM451),'Chemical Data'!AM451,"")</f>
        <v/>
      </c>
      <c r="AN106" s="4">
        <f>IF(ISNUMBER('Chemical Data'!AN451),'Chemical Data'!AN451,"")</f>
        <v>0.8044079999999999</v>
      </c>
      <c r="AO106" s="4">
        <f>IF(ISNUMBER('Chemical Data'!AO451),'Chemical Data'!AO451,"")</f>
        <v>1.1672558400000002</v>
      </c>
      <c r="AP106" s="4">
        <f>IF(ISNUMBER('Chemical Data'!AP451),'Chemical Data'!AP451,"")</f>
        <v>1.6619999999999999E-2</v>
      </c>
      <c r="AQ106" s="4">
        <f>IF(ISNUMBER('Chemical Data'!AQ451),'Chemical Data'!AQ451,"")</f>
        <v>8.472876E-2</v>
      </c>
      <c r="AR106" s="4">
        <f>IF(ISNUMBER('Chemical Data'!AR451),'Chemical Data'!AR451,"")</f>
        <v>9.260664000000002</v>
      </c>
      <c r="AS106" s="1">
        <f>0.012*J106*Q106</f>
        <v>1.4625599999999999</v>
      </c>
    </row>
    <row r="107" spans="1:47" ht="14.25" customHeight="1" x14ac:dyDescent="0.3">
      <c r="A107" s="61">
        <v>45442</v>
      </c>
      <c r="B107" s="74">
        <v>1</v>
      </c>
      <c r="C107" s="61" t="s">
        <v>285</v>
      </c>
      <c r="D107" s="61"/>
      <c r="E107" s="61" t="s">
        <v>287</v>
      </c>
      <c r="F107" s="61"/>
      <c r="G107" s="61"/>
      <c r="H107" s="61" t="s">
        <v>218</v>
      </c>
      <c r="I107" s="74"/>
      <c r="J107" s="4">
        <f>IF(ISNUMBER('Chemical Data'!J452),'Chemical Data'!J452,"")</f>
        <v>1.75</v>
      </c>
      <c r="K107" s="4" t="s">
        <v>96</v>
      </c>
      <c r="L107" s="2">
        <f>IF(ISNUMBER('Chemical Data'!L452),'Chemical Data'!L452,"")</f>
        <v>6.14</v>
      </c>
      <c r="M107" s="2">
        <f>IF(ISNUMBER('Chemical Data'!M452),'Chemical Data'!M452,"")</f>
        <v>6.1</v>
      </c>
      <c r="N107" s="4">
        <f>IF(ISNUMBER('Chemical Data'!N452),'Chemical Data'!N452,"")</f>
        <v>680</v>
      </c>
      <c r="O107" s="4" t="str">
        <f>IF(ISNUMBER('Chemical Data'!O452),'Chemical Data'!O452,"")</f>
        <v/>
      </c>
      <c r="P107" s="4">
        <f>IF(ISNUMBER('Chemical Data'!P452),'Chemical Data'!P452,"")</f>
        <v>12.4</v>
      </c>
      <c r="Q107" s="4" t="str">
        <f>IF(ISNUMBER('Chemical Data'!Q452),'Chemical Data'!Q452,"")</f>
        <v/>
      </c>
      <c r="R107" s="4">
        <f>IF(ISNUMBER('Chemical Data'!R452),'Chemical Data'!R452,"")</f>
        <v>41.2</v>
      </c>
      <c r="S107" s="4">
        <f>IF(ISNUMBER('Chemical Data'!S452),'Chemical Data'!S452,"")</f>
        <v>30.4</v>
      </c>
      <c r="T107" s="4">
        <f>IF(ISNUMBER('Chemical Data'!T452),'Chemical Data'!T452,"")</f>
        <v>14.66847179800375</v>
      </c>
      <c r="U107" s="4"/>
      <c r="V107" s="4"/>
      <c r="W107" s="4">
        <f>IF(ISNUMBER('Chemical Data'!W452),'Chemical Data'!W452,"")</f>
        <v>36.543999999999997</v>
      </c>
      <c r="X107" s="4">
        <f>IF(ISNUMBER('Chemical Data'!X452),'Chemical Data'!X452,"")</f>
        <v>28.635000000000002</v>
      </c>
      <c r="Y107" s="3">
        <f t="shared" ref="Y107:Y112" si="84">IF(W107-X107&lt;0,0,W107-X107)</f>
        <v>7.9089999999999954</v>
      </c>
      <c r="Z107" s="3">
        <f>IF(ISNUMBER('Chemical Data'!Z452),'Chemical Data'!Z452,"")</f>
        <v>0.5</v>
      </c>
      <c r="AA107" s="4">
        <f>IF(ISNUMBER('Chemical Data'!AA452),'Chemical Data'!AA452,"")</f>
        <v>2.5419999999999998</v>
      </c>
      <c r="AB107" s="4">
        <f>IF(ISNUMBER('Chemical Data'!AB452),'Chemical Data'!AB452,"")</f>
        <v>297</v>
      </c>
      <c r="AC107" s="4" t="str">
        <f>IF(ISNUMBER('Chemical Data'!AC452),'Chemical Data'!AC452,"")</f>
        <v/>
      </c>
      <c r="AD107" s="4" t="str">
        <f>IF(ISNUMBER('Chemical Data'!AD452),'Chemical Data'!AD452,"")</f>
        <v/>
      </c>
      <c r="AE107" s="4" t="str">
        <f>IF(ISNUMBER('Chemical Data'!AE452),'Chemical Data'!AE452,"")</f>
        <v/>
      </c>
      <c r="AF107" s="4" t="str">
        <f>IF(ISNUMBER('Chemical Data'!AF452),'Chemical Data'!AF452,"")</f>
        <v/>
      </c>
      <c r="AG107" s="4" t="str">
        <f>IF(ISNUMBER('Chemical Data'!AG452),'Chemical Data'!AG452,"")</f>
        <v/>
      </c>
      <c r="AH107" s="4" t="str">
        <f>IF(ISNUMBER('Chemical Data'!AH452),'Chemical Data'!AH452,"")</f>
        <v/>
      </c>
      <c r="AI107" s="4" t="str">
        <f>IF(ISNUMBER('Chemical Data'!AI452),'Chemical Data'!AI452,"")</f>
        <v/>
      </c>
      <c r="AJ107" s="4" t="str">
        <f>IF(ISNUMBER('Chemical Data'!AJ452),'Chemical Data'!AJ452,"")</f>
        <v/>
      </c>
      <c r="AK107" s="4" t="str">
        <f>IF(ISNUMBER('Chemical Data'!AK452),'Chemical Data'!AK452,"")</f>
        <v/>
      </c>
      <c r="AL107" s="4">
        <f>IF(ISNUMBER('Chemical Data'!AL452),'Chemical Data'!AL452,"")</f>
        <v>486</v>
      </c>
      <c r="AM107" s="4" t="str">
        <f>IF(ISNUMBER('Chemical Data'!AM452),'Chemical Data'!AM452,"")</f>
        <v/>
      </c>
      <c r="AN107" s="4">
        <f>IF(ISNUMBER('Chemical Data'!AN452),'Chemical Data'!AN452,"")</f>
        <v>0.63839999999999997</v>
      </c>
      <c r="AO107" s="4">
        <f>IF(ISNUMBER('Chemical Data'!AO452),'Chemical Data'!AO452,"")</f>
        <v>0.767424</v>
      </c>
      <c r="AP107" s="4">
        <f>IF(ISNUMBER('Chemical Data'!AP452),'Chemical Data'!AP452,"")</f>
        <v>1.0500000000000001E-2</v>
      </c>
      <c r="AQ107" s="4">
        <f>IF(ISNUMBER('Chemical Data'!AQ452),'Chemical Data'!AQ452,"")</f>
        <v>5.3381999999999992E-2</v>
      </c>
      <c r="AR107" s="4">
        <f>IF(ISNUMBER('Chemical Data'!AR452),'Chemical Data'!AR452,"")</f>
        <v>6.2370000000000001</v>
      </c>
      <c r="AS107" s="4">
        <f>IF(ISNUMBER('Chemical Data'!AS452),'Chemical Data'!AS452,"")</f>
        <v>0.86520000000000008</v>
      </c>
    </row>
    <row r="108" spans="1:47" ht="14.25" customHeight="1" x14ac:dyDescent="0.3">
      <c r="A108" s="61">
        <v>45461</v>
      </c>
      <c r="B108" s="74">
        <v>1</v>
      </c>
      <c r="C108" s="61" t="s">
        <v>285</v>
      </c>
      <c r="D108" s="61"/>
      <c r="E108" s="61" t="s">
        <v>287</v>
      </c>
      <c r="F108" s="61"/>
      <c r="G108" s="61"/>
      <c r="H108" s="61" t="s">
        <v>218</v>
      </c>
      <c r="I108" s="74"/>
      <c r="J108" s="4">
        <v>1.2</v>
      </c>
      <c r="K108" s="4" t="s">
        <v>96</v>
      </c>
      <c r="L108" s="2">
        <v>5.05</v>
      </c>
      <c r="M108" s="2">
        <f>IF(ISNUMBER('Chemical Data'!M453),'Chemical Data'!M453,"")</f>
        <v>5.7</v>
      </c>
      <c r="N108" s="4">
        <v>665</v>
      </c>
      <c r="O108" s="4" t="str">
        <f>IF(ISNUMBER('Chemical Data'!O453),'Chemical Data'!O453,"")</f>
        <v/>
      </c>
      <c r="P108" s="4">
        <v>14</v>
      </c>
      <c r="Q108" s="4">
        <v>24</v>
      </c>
      <c r="R108" s="4">
        <v>24.2</v>
      </c>
      <c r="S108" s="4">
        <f>IF(ISNUMBER('Chemical Data'!S453),'Chemical Data'!S453,"")</f>
        <v>30.8</v>
      </c>
      <c r="T108" s="4">
        <f>IF(ISNUMBER('Chemical Data'!T453),'Chemical Data'!T453,"")</f>
        <v>39.809515469066866</v>
      </c>
      <c r="U108" s="4"/>
      <c r="V108" s="4"/>
      <c r="W108" s="4">
        <f>IF(ISNUMBER('Chemical Data'!W453),'Chemical Data'!W453,"")</f>
        <v>40.408000000000001</v>
      </c>
      <c r="X108" s="4">
        <f>IF(ISNUMBER('Chemical Data'!X453),'Chemical Data'!X453,"")</f>
        <v>32.890999999999998</v>
      </c>
      <c r="Y108" s="3">
        <f t="shared" si="84"/>
        <v>7.517000000000003</v>
      </c>
      <c r="Z108" s="3">
        <v>0.05</v>
      </c>
      <c r="AA108" s="4">
        <f>IF(ISNUMBER('Chemical Data'!AA453),'Chemical Data'!AA453,"")</f>
        <v>2.605</v>
      </c>
      <c r="AB108" s="4">
        <f>IF(ISNUMBER('Chemical Data'!AB453),'Chemical Data'!AB453,"")</f>
        <v>317.10000000000002</v>
      </c>
      <c r="AC108" s="4" t="str">
        <f>IF(ISNUMBER('Chemical Data'!AC453),'Chemical Data'!AC453,"")</f>
        <v/>
      </c>
      <c r="AD108" s="4" t="str">
        <f>IF(ISNUMBER('Chemical Data'!AD453),'Chemical Data'!AD453,"")</f>
        <v/>
      </c>
      <c r="AE108" s="4" t="str">
        <f>IF(ISNUMBER('Chemical Data'!AE453),'Chemical Data'!AE453,"")</f>
        <v/>
      </c>
      <c r="AF108" s="4" t="str">
        <f>IF(ISNUMBER('Chemical Data'!AF453),'Chemical Data'!AF453,"")</f>
        <v/>
      </c>
      <c r="AG108" s="4" t="str">
        <f>IF(ISNUMBER('Chemical Data'!AG453),'Chemical Data'!AG453,"")</f>
        <v/>
      </c>
      <c r="AH108" s="4" t="str">
        <f>IF(ISNUMBER('Chemical Data'!AH453),'Chemical Data'!AH453,"")</f>
        <v/>
      </c>
      <c r="AI108" s="4" t="str">
        <f>IF(ISNUMBER('Chemical Data'!AI453),'Chemical Data'!AI453,"")</f>
        <v/>
      </c>
      <c r="AJ108" s="4" t="str">
        <f>IF(ISNUMBER('Chemical Data'!AJ453),'Chemical Data'!AJ453,"")</f>
        <v/>
      </c>
      <c r="AK108" s="4">
        <f>IF(ISNUMBER('Chemical Data'!AK453),'Chemical Data'!AK453,"")</f>
        <v>30</v>
      </c>
      <c r="AL108" s="4">
        <f>IF(ISNUMBER('Chemical Data'!AL453),'Chemical Data'!AL453,"")</f>
        <v>506</v>
      </c>
      <c r="AM108" s="4"/>
      <c r="AN108" s="4">
        <f>IF(ISNUMBER('Chemical Data'!AN453),'Chemical Data'!AN453,"")</f>
        <v>0.44352000000000003</v>
      </c>
      <c r="AO108" s="4">
        <f>IF(ISNUMBER('Chemical Data'!AO453),'Chemical Data'!AO453,"")</f>
        <v>0.47363039999999995</v>
      </c>
      <c r="AP108" s="4">
        <f>IF(ISNUMBER('Chemical Data'!AP453),'Chemical Data'!AP453,"")</f>
        <v>7.1999999999999998E-3</v>
      </c>
      <c r="AQ108" s="4">
        <f>IF(ISNUMBER('Chemical Data'!AQ453),'Chemical Data'!AQ453,"")</f>
        <v>3.7511999999999997E-2</v>
      </c>
      <c r="AR108" s="4">
        <f>IF(ISNUMBER('Chemical Data'!AR453),'Chemical Data'!AR453,"")</f>
        <v>4.5662400000000005</v>
      </c>
      <c r="AS108" s="4">
        <f>IF(ISNUMBER('Chemical Data'!AS453),'Chemical Data'!AS453,"")</f>
        <v>0.34847999999999996</v>
      </c>
    </row>
    <row r="109" spans="1:47" ht="14.25" customHeight="1" x14ac:dyDescent="0.3">
      <c r="A109" s="61">
        <v>45483</v>
      </c>
      <c r="B109" s="74">
        <v>1</v>
      </c>
      <c r="C109" s="61" t="s">
        <v>285</v>
      </c>
      <c r="D109" s="61"/>
      <c r="E109" s="61" t="s">
        <v>287</v>
      </c>
      <c r="F109" s="61"/>
      <c r="G109" s="61"/>
      <c r="H109" s="61" t="s">
        <v>218</v>
      </c>
      <c r="I109" s="74"/>
      <c r="J109" s="4">
        <f>IF(ISNUMBER('Chemical Data'!J454),'Chemical Data'!J454,"")</f>
        <v>1.25</v>
      </c>
      <c r="K109" s="4" t="s">
        <v>96</v>
      </c>
      <c r="L109" s="2">
        <f>IF(ISNUMBER('Chemical Data'!L454),'Chemical Data'!L454,"")</f>
        <v>6.04</v>
      </c>
      <c r="M109" s="2">
        <f>IF(ISNUMBER('Chemical Data'!M454),'Chemical Data'!M454,"")</f>
        <v>5.3</v>
      </c>
      <c r="N109" s="4">
        <f>IF(ISNUMBER('Chemical Data'!N454),'Chemical Data'!N454,"")</f>
        <v>685</v>
      </c>
      <c r="O109" s="4" t="str">
        <f>IF(ISNUMBER('Chemical Data'!O454),'Chemical Data'!O454,"")</f>
        <v/>
      </c>
      <c r="P109" s="4">
        <f>IF(ISNUMBER('Chemical Data'!P454),'Chemical Data'!P454,"")</f>
        <v>16.399999999999999</v>
      </c>
      <c r="Q109" s="4">
        <f>IF(ISNUMBER('Chemical Data'!Q454),'Chemical Data'!Q454,"")</f>
        <v>43</v>
      </c>
      <c r="R109" s="4">
        <v>25.2</v>
      </c>
      <c r="S109" s="4">
        <f>IF(ISNUMBER('Chemical Data'!S454),'Chemical Data'!S454,"")</f>
        <v>28.4</v>
      </c>
      <c r="T109" s="4">
        <f>IF(ISNUMBER('Chemical Data'!T454),'Chemical Data'!T454,"")</f>
        <v>35.208880541967794</v>
      </c>
      <c r="U109" s="4"/>
      <c r="V109" s="4"/>
      <c r="W109" s="4">
        <f>IF(ISNUMBER('Chemical Data'!W454),'Chemical Data'!W454,"")</f>
        <v>39.594999999999999</v>
      </c>
      <c r="X109" s="4">
        <f>IF(ISNUMBER('Chemical Data'!X454),'Chemical Data'!X454,"")</f>
        <v>22.552</v>
      </c>
      <c r="Y109" s="3">
        <f t="shared" si="84"/>
        <v>17.042999999999999</v>
      </c>
      <c r="Z109" s="52">
        <v>0.5</v>
      </c>
      <c r="AA109" s="4">
        <f>IF(ISNUMBER('Chemical Data'!AA454),'Chemical Data'!AA454,"")</f>
        <v>2.6640000000000001</v>
      </c>
      <c r="AB109" s="4">
        <f>IF(ISNUMBER('Chemical Data'!AB454),'Chemical Data'!AB454,"")</f>
        <v>324.10000000000002</v>
      </c>
      <c r="AC109" s="4" t="str">
        <f>IF(ISNUMBER('Chemical Data'!AC454),'Chemical Data'!AC454,"")</f>
        <v/>
      </c>
      <c r="AD109" s="4" t="str">
        <f>IF(ISNUMBER('Chemical Data'!AD454),'Chemical Data'!AD454,"")</f>
        <v/>
      </c>
      <c r="AE109" s="4" t="str">
        <f>IF(ISNUMBER('Chemical Data'!AE454),'Chemical Data'!AE454,"")</f>
        <v/>
      </c>
      <c r="AF109" s="4" t="str">
        <f>IF(ISNUMBER('Chemical Data'!AF454),'Chemical Data'!AF454,"")</f>
        <v/>
      </c>
      <c r="AG109" s="4" t="str">
        <f>IF(ISNUMBER('Chemical Data'!AG454),'Chemical Data'!AG454,"")</f>
        <v/>
      </c>
      <c r="AH109" s="4" t="str">
        <f>IF(ISNUMBER('Chemical Data'!AH454),'Chemical Data'!AH454,"")</f>
        <v/>
      </c>
      <c r="AI109" s="4" t="str">
        <f>IF(ISNUMBER('Chemical Data'!AI454),'Chemical Data'!AI454,"")</f>
        <v/>
      </c>
      <c r="AJ109" s="4" t="str">
        <f>IF(ISNUMBER('Chemical Data'!AJ454),'Chemical Data'!AJ454,"")</f>
        <v/>
      </c>
      <c r="AK109" s="4">
        <f>IF(ISNUMBER('Chemical Data'!AK454),'Chemical Data'!AK454,"")</f>
        <v>98</v>
      </c>
      <c r="AL109" s="4">
        <f>IF(ISNUMBER('Chemical Data'!AL454),'Chemical Data'!AL454,"")</f>
        <v>528</v>
      </c>
      <c r="AM109" s="4" t="str">
        <f>IF(ISNUMBER('Chemical Data'!AM454),'Chemical Data'!AM454,"")</f>
        <v/>
      </c>
      <c r="AN109" s="4">
        <f>IF(ISNUMBER('Chemical Data'!AN454),'Chemical Data'!AN454,"")</f>
        <v>0.42599999999999999</v>
      </c>
      <c r="AO109" s="4">
        <f>IF(ISNUMBER('Chemical Data'!AO454),'Chemical Data'!AO454,"")</f>
        <v>0.33827999999999997</v>
      </c>
      <c r="AP109" s="4">
        <f>IF(ISNUMBER('Chemical Data'!AP454),'Chemical Data'!AP454,"")</f>
        <v>7.4999999999999997E-3</v>
      </c>
      <c r="AQ109" s="4">
        <f>IF(ISNUMBER('Chemical Data'!AQ454),'Chemical Data'!AQ454,"")</f>
        <v>3.9960000000000002E-2</v>
      </c>
      <c r="AR109" s="4">
        <f>IF(ISNUMBER('Chemical Data'!AR454),'Chemical Data'!AR454,"")</f>
        <v>4.8615000000000004</v>
      </c>
      <c r="AS109" s="4">
        <f>IF(ISNUMBER('Chemical Data'!AS454),'Chemical Data'!AS454,"")</f>
        <v>0.15</v>
      </c>
    </row>
    <row r="110" spans="1:47" x14ac:dyDescent="0.3">
      <c r="A110" s="61">
        <v>45527</v>
      </c>
      <c r="B110" s="74">
        <v>1</v>
      </c>
      <c r="C110" s="61" t="s">
        <v>285</v>
      </c>
      <c r="D110" s="61"/>
      <c r="E110" s="61" t="s">
        <v>287</v>
      </c>
      <c r="F110" s="61"/>
      <c r="G110" s="61"/>
      <c r="H110" s="61" t="s">
        <v>218</v>
      </c>
      <c r="I110" s="74"/>
      <c r="J110" s="4">
        <f>IF(ISNUMBER('Chemical Data'!J455),'Chemical Data'!J455,"")</f>
        <v>1</v>
      </c>
      <c r="K110" s="4" t="s">
        <v>96</v>
      </c>
      <c r="L110" s="2">
        <f>IF(ISNUMBER('Chemical Data'!L455),'Chemical Data'!L455,"")</f>
        <v>6.14</v>
      </c>
      <c r="M110" s="2">
        <f>IF(ISNUMBER('Chemical Data'!M455),'Chemical Data'!M455,"")</f>
        <v>5.7</v>
      </c>
      <c r="N110" s="4">
        <f>IF(ISNUMBER('Chemical Data'!N455),'Chemical Data'!N455,"")</f>
        <v>628</v>
      </c>
      <c r="O110" s="2" t="str">
        <f>IF(ISNUMBER('Chemical Data'!O455),'Chemical Data'!O455,"")</f>
        <v/>
      </c>
      <c r="P110" s="2" t="str">
        <f>IF(ISNUMBER('Chemical Data'!P455),'Chemical Data'!P455,"")</f>
        <v/>
      </c>
      <c r="Q110" s="2" t="str">
        <f>IF(ISNUMBER('Chemical Data'!Q455),'Chemical Data'!Q455,"")</f>
        <v/>
      </c>
      <c r="R110" s="4">
        <f>IF(ISNUMBER('Chemical Data'!R455),'Chemical Data'!R455,"")</f>
        <v>19.8</v>
      </c>
      <c r="S110" s="4">
        <f>IF(ISNUMBER('Chemical Data'!S455),'Chemical Data'!S455,"")</f>
        <v>30.6</v>
      </c>
      <c r="T110" s="4">
        <f>IF(ISNUMBER('Chemical Data'!T455),'Chemical Data'!T455,"")</f>
        <v>49.571761798003749</v>
      </c>
      <c r="U110" s="4"/>
      <c r="V110" s="4"/>
      <c r="W110" s="4">
        <f>IF(ISNUMBER('Chemical Data'!W455),'Chemical Data'!W455,"")</f>
        <v>35.469000000000001</v>
      </c>
      <c r="X110" s="4">
        <f>IF(ISNUMBER('Chemical Data'!X455),'Chemical Data'!X455,"")</f>
        <v>36.045999999999999</v>
      </c>
      <c r="Y110" s="3">
        <f t="shared" si="84"/>
        <v>0</v>
      </c>
      <c r="Z110" s="52">
        <f>IF(ISNUMBER('Chemical Data'!Z455),'Chemical Data'!Z455,"")</f>
        <v>0.5</v>
      </c>
      <c r="AA110" s="4">
        <f>IF(ISNUMBER('Chemical Data'!AA455),'Chemical Data'!AA455,"")</f>
        <v>2.6739999999999999</v>
      </c>
      <c r="AB110" s="4">
        <f>IF(ISNUMBER('Chemical Data'!AB455),'Chemical Data'!AB455,"")</f>
        <v>300</v>
      </c>
      <c r="AC110" s="4" t="str">
        <f>IF(ISNUMBER('Chemical Data'!AC455),'Chemical Data'!AC455,"")</f>
        <v/>
      </c>
      <c r="AD110" s="4" t="str">
        <f>IF(ISNUMBER('Chemical Data'!AD455),'Chemical Data'!AD455,"")</f>
        <v/>
      </c>
      <c r="AE110" s="4" t="str">
        <f>IF(ISNUMBER('Chemical Data'!AE455),'Chemical Data'!AE455,"")</f>
        <v/>
      </c>
      <c r="AF110" s="4" t="str">
        <f>IF(ISNUMBER('Chemical Data'!AF455),'Chemical Data'!AF455,"")</f>
        <v/>
      </c>
      <c r="AG110" s="4" t="str">
        <f>IF(ISNUMBER('Chemical Data'!AG455),'Chemical Data'!AG455,"")</f>
        <v/>
      </c>
      <c r="AH110" s="4" t="str">
        <f>IF(ISNUMBER('Chemical Data'!AH455),'Chemical Data'!AH455,"")</f>
        <v/>
      </c>
      <c r="AI110" s="4" t="str">
        <f>IF(ISNUMBER('Chemical Data'!AI455),'Chemical Data'!AI455,"")</f>
        <v/>
      </c>
      <c r="AJ110" s="4" t="str">
        <f>IF(ISNUMBER('Chemical Data'!AJ455),'Chemical Data'!AJ455,"")</f>
        <v/>
      </c>
      <c r="AK110" s="4">
        <f>IF(ISNUMBER('Chemical Data'!AK455),'Chemical Data'!AK455,"")</f>
        <v>22</v>
      </c>
      <c r="AL110" s="4">
        <f>IF(ISNUMBER('Chemical Data'!AL455),'Chemical Data'!AL455,"")</f>
        <v>504</v>
      </c>
      <c r="AM110" s="4" t="str">
        <f>IF(ISNUMBER('Chemical Data'!AM455),'Chemical Data'!AM455,"")</f>
        <v/>
      </c>
      <c r="AN110" s="4">
        <f>IF(ISNUMBER('Chemical Data'!AN455),'Chemical Data'!AN455,"")</f>
        <v>0.36720000000000003</v>
      </c>
      <c r="AO110" s="4">
        <f>IF(ISNUMBER('Chemical Data'!AO455),'Chemical Data'!AO455,"")</f>
        <v>0.43255199999999999</v>
      </c>
      <c r="AP110" s="4">
        <f>IF(ISNUMBER('Chemical Data'!AP455),'Chemical Data'!AP455,"")</f>
        <v>6.0000000000000001E-3</v>
      </c>
      <c r="AQ110" s="4">
        <f>IF(ISNUMBER('Chemical Data'!AQ455),'Chemical Data'!AQ455,"")</f>
        <v>3.2087999999999998E-2</v>
      </c>
      <c r="AR110" s="4">
        <f>IF(ISNUMBER('Chemical Data'!AR455),'Chemical Data'!AR455,"")</f>
        <v>3.6</v>
      </c>
      <c r="AS110" s="4">
        <f>IF(ISNUMBER('Chemical Data'!AS455),'Chemical Data'!AS455,"")</f>
        <v>0.23760000000000001</v>
      </c>
      <c r="AT110" s="4" t="str">
        <f>IF(ISNUMBER('Chemical Data'!AT455),'Chemical Data'!AT455,"")</f>
        <v/>
      </c>
      <c r="AU110" s="4" t="str">
        <f>IF(ISNUMBER('Chemical Data'!AU455),'Chemical Data'!AU455,"")</f>
        <v/>
      </c>
    </row>
    <row r="111" spans="1:47" x14ac:dyDescent="0.3">
      <c r="A111" s="61">
        <v>45547</v>
      </c>
      <c r="B111" s="74">
        <v>1</v>
      </c>
      <c r="C111" s="61" t="s">
        <v>285</v>
      </c>
      <c r="D111" s="61"/>
      <c r="E111" s="61" t="s">
        <v>287</v>
      </c>
      <c r="F111" s="61"/>
      <c r="G111" s="61"/>
      <c r="H111" s="61" t="s">
        <v>218</v>
      </c>
      <c r="I111" s="74"/>
      <c r="J111" s="4">
        <f>IF(ISNUMBER('Chemical Data'!J456),'Chemical Data'!J456,"")</f>
        <v>1</v>
      </c>
      <c r="K111" s="4" t="s">
        <v>96</v>
      </c>
      <c r="L111" s="2">
        <f>IF(ISNUMBER('Chemical Data'!L456),'Chemical Data'!L456,"")</f>
        <v>6.04</v>
      </c>
      <c r="M111" s="2">
        <f>IF(ISNUMBER('Chemical Data'!M456),'Chemical Data'!M456,"")</f>
        <v>5.9</v>
      </c>
      <c r="N111" s="4">
        <f>IF(ISNUMBER('Chemical Data'!N456),'Chemical Data'!N456,"")</f>
        <v>730</v>
      </c>
      <c r="O111" s="4" t="str">
        <f>IF(ISNUMBER('Chemical Data'!O456),'Chemical Data'!O456,"")</f>
        <v/>
      </c>
      <c r="P111" s="4">
        <f>IF(ISNUMBER('Chemical Data'!P456),'Chemical Data'!P456,"")</f>
        <v>13</v>
      </c>
      <c r="Q111" s="4">
        <f>IF(ISNUMBER('Chemical Data'!Q456),'Chemical Data'!Q456,"")</f>
        <v>146</v>
      </c>
      <c r="R111" s="4">
        <v>27.2</v>
      </c>
      <c r="S111" s="4">
        <f>IF(ISNUMBER('Chemical Data'!S456),'Chemical Data'!S456,"")</f>
        <v>44.6</v>
      </c>
      <c r="T111" s="4">
        <f>IF(ISNUMBER('Chemical Data'!T456),'Chemical Data'!T456,"")</f>
        <v>22.810010541967799</v>
      </c>
      <c r="U111" s="4"/>
      <c r="V111" s="4"/>
      <c r="W111" s="4">
        <f>IF(ISNUMBER('Chemical Data'!W456),'Chemical Data'!W456,"")</f>
        <v>36.991</v>
      </c>
      <c r="X111" s="4">
        <f>IF(ISNUMBER('Chemical Data'!X456),'Chemical Data'!X456,"")</f>
        <v>34.039000000000001</v>
      </c>
      <c r="Y111" s="3">
        <f t="shared" si="84"/>
        <v>2.9519999999999982</v>
      </c>
      <c r="Z111" s="52">
        <f>IF(ISNUMBER('Chemical Data'!Z456),'Chemical Data'!Z456,"")</f>
        <v>0.5</v>
      </c>
      <c r="AA111" s="4">
        <f>IF(ISNUMBER('Chemical Data'!AA456),'Chemical Data'!AA456,"")</f>
        <v>2.7970000000000002</v>
      </c>
      <c r="AB111" s="4">
        <f>IF(ISNUMBER('Chemical Data'!AB456),'Chemical Data'!AB456,"")</f>
        <v>336.4</v>
      </c>
      <c r="AC111" s="4" t="str">
        <f>IF(ISNUMBER('Chemical Data'!AC456),'Chemical Data'!AC456,"")</f>
        <v/>
      </c>
      <c r="AD111" s="4" t="str">
        <f>IF(ISNUMBER('Chemical Data'!AD456),'Chemical Data'!AD456,"")</f>
        <v/>
      </c>
      <c r="AE111" s="4" t="str">
        <f>IF(ISNUMBER('Chemical Data'!AE456),'Chemical Data'!AE456,"")</f>
        <v/>
      </c>
      <c r="AF111" s="4" t="str">
        <f>IF(ISNUMBER('Chemical Data'!AF456),'Chemical Data'!AF456,"")</f>
        <v/>
      </c>
      <c r="AG111" s="4" t="str">
        <f>IF(ISNUMBER('Chemical Data'!AG456),'Chemical Data'!AG456,"")</f>
        <v/>
      </c>
      <c r="AH111" s="4" t="str">
        <f>IF(ISNUMBER('Chemical Data'!AH456),'Chemical Data'!AH456,"")</f>
        <v/>
      </c>
      <c r="AI111" s="4" t="str">
        <f>IF(ISNUMBER('Chemical Data'!AI456),'Chemical Data'!AI456,"")</f>
        <v/>
      </c>
      <c r="AJ111" s="4" t="str">
        <f>IF(ISNUMBER('Chemical Data'!AJ456),'Chemical Data'!AJ456,"")</f>
        <v/>
      </c>
      <c r="AK111" s="4" t="str">
        <f>IF(ISNUMBER('Chemical Data'!AK456),'Chemical Data'!AK456,"")</f>
        <v/>
      </c>
      <c r="AL111" s="4">
        <f>IF(ISNUMBER('Chemical Data'!AL456),'Chemical Data'!AL456,"")</f>
        <v>572</v>
      </c>
      <c r="AM111" s="4" t="str">
        <f>IF(ISNUMBER('Chemical Data'!AM456),'Chemical Data'!AM456,"")</f>
        <v/>
      </c>
      <c r="AN111" s="4">
        <f>IF(ISNUMBER('Chemical Data'!AN456),'Chemical Data'!AN456,"")</f>
        <v>0.53520000000000001</v>
      </c>
      <c r="AO111" s="4">
        <f>IF(ISNUMBER('Chemical Data'!AO456),'Chemical Data'!AO456,"")</f>
        <v>0.40846800000000005</v>
      </c>
      <c r="AP111" s="4">
        <f>IF(ISNUMBER('Chemical Data'!AP456),'Chemical Data'!AP456,"")</f>
        <v>6.0000000000000001E-3</v>
      </c>
      <c r="AQ111" s="4">
        <f>IF(ISNUMBER('Chemical Data'!AQ456),'Chemical Data'!AQ456,"")</f>
        <v>3.3564000000000004E-2</v>
      </c>
      <c r="AR111" s="4">
        <f>IF(ISNUMBER('Chemical Data'!AR456),'Chemical Data'!AR456,"")</f>
        <v>4.0367999999999995</v>
      </c>
      <c r="AS111" s="4">
        <f>IF(ISNUMBER('Chemical Data'!AS456),'Chemical Data'!AS456,"")</f>
        <v>0.51840000000000008</v>
      </c>
    </row>
    <row r="112" spans="1:47" x14ac:dyDescent="0.3">
      <c r="A112" s="61">
        <v>45595</v>
      </c>
      <c r="B112" s="74">
        <v>3</v>
      </c>
      <c r="C112" s="61" t="s">
        <v>285</v>
      </c>
      <c r="D112" s="61"/>
      <c r="E112" s="61" t="s">
        <v>287</v>
      </c>
      <c r="F112" s="61"/>
      <c r="G112" s="61"/>
      <c r="H112" s="61" t="s">
        <v>218</v>
      </c>
      <c r="I112" s="74"/>
      <c r="J112" s="4">
        <f>IF(ISNUMBER('Chemical Data'!J457),'Chemical Data'!J457,"")</f>
        <v>0.6</v>
      </c>
      <c r="K112" s="4" t="s">
        <v>96</v>
      </c>
      <c r="L112" s="2">
        <f>IF(ISNUMBER('Chemical Data'!L457),'Chemical Data'!L457,"")</f>
        <v>5.5</v>
      </c>
      <c r="M112" s="2">
        <f>IF(ISNUMBER('Chemical Data'!M457),'Chemical Data'!M457,"")</f>
        <v>6</v>
      </c>
      <c r="N112" s="4">
        <f>IF(ISNUMBER('Chemical Data'!N457),'Chemical Data'!N457,"")</f>
        <v>675</v>
      </c>
      <c r="O112" s="4" t="str">
        <f>IF(ISNUMBER('Chemical Data'!O457),'Chemical Data'!O457,"")</f>
        <v/>
      </c>
      <c r="P112" s="4">
        <f>IF(ISNUMBER('Chemical Data'!P457),'Chemical Data'!P457,"")</f>
        <v>13.5</v>
      </c>
      <c r="Q112" s="4" t="str">
        <f>IF(ISNUMBER('Chemical Data'!Q457),'Chemical Data'!Q457,"")</f>
        <v/>
      </c>
      <c r="R112" s="4">
        <v>28.2</v>
      </c>
      <c r="S112" s="4">
        <f>IF(ISNUMBER('Chemical Data'!S457),'Chemical Data'!S457,"")</f>
        <v>42</v>
      </c>
      <c r="T112" s="4">
        <f>IF(ISNUMBER('Chemical Data'!T457),'Chemical Data'!T457,"")</f>
        <v>39.08743388300843</v>
      </c>
      <c r="U112" s="4"/>
      <c r="V112" s="4"/>
      <c r="W112" s="4">
        <f>IF(ISNUMBER('Chemical Data'!W457),'Chemical Data'!W457,"")</f>
        <v>37.744999999999997</v>
      </c>
      <c r="X112" s="4">
        <f>IF(ISNUMBER('Chemical Data'!X457),'Chemical Data'!X457,"")</f>
        <v>35.188000000000002</v>
      </c>
      <c r="Y112" s="3">
        <f t="shared" si="84"/>
        <v>2.5569999999999951</v>
      </c>
      <c r="Z112" s="52">
        <f>IF(ISNUMBER('Chemical Data'!Z457),'Chemical Data'!Z457,"")</f>
        <v>0.5</v>
      </c>
      <c r="AA112" s="4">
        <f>IF(ISNUMBER('Chemical Data'!AA457),'Chemical Data'!AA457,"")</f>
        <v>2.746</v>
      </c>
      <c r="AB112" s="4">
        <f>IF(ISNUMBER('Chemical Data'!AB457),'Chemical Data'!AB457,"")</f>
        <v>326.8</v>
      </c>
      <c r="AC112" s="4" t="str">
        <f>IF(ISNUMBER('Chemical Data'!AC457),'Chemical Data'!AC457,"")</f>
        <v/>
      </c>
      <c r="AD112" s="4" t="str">
        <f>IF(ISNUMBER('Chemical Data'!AD457),'Chemical Data'!AD457,"")</f>
        <v/>
      </c>
      <c r="AE112" s="4" t="str">
        <f>IF(ISNUMBER('Chemical Data'!AE457),'Chemical Data'!AE457,"")</f>
        <v/>
      </c>
      <c r="AF112" s="4" t="str">
        <f>IF(ISNUMBER('Chemical Data'!AF457),'Chemical Data'!AF457,"")</f>
        <v/>
      </c>
      <c r="AG112" s="4" t="str">
        <f>IF(ISNUMBER('Chemical Data'!AG457),'Chemical Data'!AG457,"")</f>
        <v/>
      </c>
      <c r="AH112" s="4" t="str">
        <f>IF(ISNUMBER('Chemical Data'!AH457),'Chemical Data'!AH457,"")</f>
        <v/>
      </c>
      <c r="AI112" s="4" t="str">
        <f>IF(ISNUMBER('Chemical Data'!AI457),'Chemical Data'!AI457,"")</f>
        <v/>
      </c>
      <c r="AJ112" s="4" t="str">
        <f>IF(ISNUMBER('Chemical Data'!AJ457),'Chemical Data'!AJ457,"")</f>
        <v/>
      </c>
      <c r="AK112" s="4">
        <f>IF(ISNUMBER('Chemical Data'!AK457),'Chemical Data'!AK457,"")</f>
        <v>38</v>
      </c>
      <c r="AL112" s="4">
        <f>IF(ISNUMBER('Chemical Data'!AL457),'Chemical Data'!AL457,"")</f>
        <v>530</v>
      </c>
      <c r="AM112" s="4" t="str">
        <f>IF(ISNUMBER('Chemical Data'!AM457),'Chemical Data'!AM457,"")</f>
        <v/>
      </c>
      <c r="AN112" s="4">
        <f>IF(ISNUMBER('Chemical Data'!AN457),'Chemical Data'!AN457,"")</f>
        <v>0.3024</v>
      </c>
      <c r="AO112" s="4">
        <f>IF(ISNUMBER('Chemical Data'!AO457),'Chemical Data'!AO457,"")</f>
        <v>0.25335360000000001</v>
      </c>
      <c r="AP112" s="4">
        <f>IF(ISNUMBER('Chemical Data'!AP457),'Chemical Data'!AP457,"")</f>
        <v>3.5999999999999999E-3</v>
      </c>
      <c r="AQ112" s="4">
        <f>IF(ISNUMBER('Chemical Data'!AQ457),'Chemical Data'!AQ457,"")</f>
        <v>1.9771199999999999E-2</v>
      </c>
      <c r="AR112" s="4">
        <f>IF(ISNUMBER('Chemical Data'!AR457),'Chemical Data'!AR457,"")</f>
        <v>2.3529600000000004</v>
      </c>
      <c r="AS112" s="4">
        <f>IF(ISNUMBER('Chemical Data'!AS457),'Chemical Data'!AS457,"")</f>
        <v>0.20880000000000001</v>
      </c>
    </row>
    <row r="113" spans="1:48" x14ac:dyDescent="0.3">
      <c r="A113" s="61">
        <v>45617</v>
      </c>
      <c r="B113" s="74">
        <v>1</v>
      </c>
      <c r="C113" s="61" t="s">
        <v>285</v>
      </c>
      <c r="D113" s="61"/>
      <c r="E113" s="61" t="s">
        <v>287</v>
      </c>
      <c r="F113" s="61"/>
      <c r="G113" s="61"/>
      <c r="H113" s="61" t="s">
        <v>218</v>
      </c>
      <c r="I113" s="74"/>
      <c r="J113" s="4">
        <f>IF(ISNUMBER('Chemical Data'!J458),'Chemical Data'!J458,"")</f>
        <v>1</v>
      </c>
      <c r="K113" s="4" t="s">
        <v>96</v>
      </c>
      <c r="L113" s="2" t="str">
        <f>IF(ISNUMBER('Chemical Data'!L458),'Chemical Data'!L458,"")</f>
        <v/>
      </c>
      <c r="M113" s="2">
        <f>IF(ISNUMBER('Chemical Data'!M458),'Chemical Data'!M458,"")</f>
        <v>5.9</v>
      </c>
      <c r="N113" s="4" t="str">
        <f>IF(ISNUMBER('Chemical Data'!N458),'Chemical Data'!N458,"")</f>
        <v/>
      </c>
      <c r="O113" s="4" t="str">
        <f>IF(ISNUMBER('Chemical Data'!O458),'Chemical Data'!O458,"")</f>
        <v/>
      </c>
      <c r="P113" s="4" t="str">
        <f>IF(ISNUMBER('Chemical Data'!P458),'Chemical Data'!P458,"")</f>
        <v/>
      </c>
      <c r="Q113" s="4" t="str">
        <f>IF(ISNUMBER('Chemical Data'!Q458),'Chemical Data'!Q458,"")</f>
        <v/>
      </c>
      <c r="R113" s="4">
        <v>29.2</v>
      </c>
      <c r="S113" s="4">
        <f>IF(ISNUMBER('Chemical Data'!S458),'Chemical Data'!S458,"")</f>
        <v>50.4</v>
      </c>
      <c r="T113" s="4">
        <f>IF(ISNUMBER('Chemical Data'!T458),'Chemical Data'!T458,"")</f>
        <v>33.492596270589701</v>
      </c>
      <c r="U113" s="4"/>
      <c r="V113" s="4"/>
      <c r="W113" s="4">
        <f>IF(ISNUMBER('Chemical Data'!W458),'Chemical Data'!W458,"")</f>
        <v>35.347000000000001</v>
      </c>
      <c r="X113" s="4">
        <f>IF(ISNUMBER('Chemical Data'!X458),'Chemical Data'!X458,"")</f>
        <v>32.634999999999998</v>
      </c>
      <c r="Y113" s="3">
        <f t="shared" ref="Y113" si="85">IF(W113-X113&lt;0,0,W113-X113)</f>
        <v>2.7120000000000033</v>
      </c>
      <c r="Z113" s="52">
        <f>IF(ISNUMBER('Chemical Data'!Z458),'Chemical Data'!Z458,"")</f>
        <v>0.5</v>
      </c>
      <c r="AA113" s="4">
        <f>IF(ISNUMBER('Chemical Data'!AA458),'Chemical Data'!AA458,"")</f>
        <v>2.7850000000000001</v>
      </c>
      <c r="AB113" s="4">
        <f>IF(ISNUMBER('Chemical Data'!AB458),'Chemical Data'!AB458,"")</f>
        <v>327.3</v>
      </c>
      <c r="AC113" s="4" t="str">
        <f>IF(ISNUMBER('Chemical Data'!AC458),'Chemical Data'!AC458,"")</f>
        <v/>
      </c>
      <c r="AD113" s="4" t="str">
        <f>IF(ISNUMBER('Chemical Data'!AD458),'Chemical Data'!AD458,"")</f>
        <v/>
      </c>
      <c r="AE113" s="4" t="str">
        <f>IF(ISNUMBER('Chemical Data'!AE458),'Chemical Data'!AE458,"")</f>
        <v/>
      </c>
      <c r="AF113" s="4" t="str">
        <f>IF(ISNUMBER('Chemical Data'!AF458),'Chemical Data'!AF458,"")</f>
        <v/>
      </c>
      <c r="AG113" s="4" t="str">
        <f>IF(ISNUMBER('Chemical Data'!AG458),'Chemical Data'!AG458,"")</f>
        <v/>
      </c>
      <c r="AH113" s="4" t="str">
        <f>IF(ISNUMBER('Chemical Data'!AH458),'Chemical Data'!AH458,"")</f>
        <v/>
      </c>
      <c r="AI113" s="4" t="str">
        <f>IF(ISNUMBER('Chemical Data'!AI458),'Chemical Data'!AI458,"")</f>
        <v/>
      </c>
      <c r="AJ113" s="4" t="str">
        <f>IF(ISNUMBER('Chemical Data'!AJ458),'Chemical Data'!AJ458,"")</f>
        <v/>
      </c>
      <c r="AK113" s="4" t="str">
        <f>IF(ISNUMBER('Chemical Data'!AK458),'Chemical Data'!AK458,"")</f>
        <v/>
      </c>
      <c r="AL113" s="4">
        <f>IF(ISNUMBER('Chemical Data'!AL458),'Chemical Data'!AL458,"")</f>
        <v>470</v>
      </c>
      <c r="AM113" s="4" t="str">
        <f>IF(ISNUMBER('Chemical Data'!AM458),'Chemical Data'!AM458,"")</f>
        <v/>
      </c>
      <c r="AN113" s="4">
        <f>IF(ISNUMBER('Chemical Data'!AN458),'Chemical Data'!AN458,"")</f>
        <v>0.6048</v>
      </c>
      <c r="AO113" s="4">
        <f>IF(ISNUMBER('Chemical Data'!AO458),'Chemical Data'!AO458,"")</f>
        <v>0.39161999999999997</v>
      </c>
      <c r="AP113" s="4">
        <f>IF(ISNUMBER('Chemical Data'!AP458),'Chemical Data'!AP458,"")</f>
        <v>6.0000000000000001E-3</v>
      </c>
      <c r="AQ113" s="4">
        <f>IF(ISNUMBER('Chemical Data'!AQ458),'Chemical Data'!AQ458,"")</f>
        <v>3.3420000000000005E-2</v>
      </c>
      <c r="AR113" s="4">
        <f>IF(ISNUMBER('Chemical Data'!AR458),'Chemical Data'!AR458,"")</f>
        <v>3.9276000000000004</v>
      </c>
      <c r="AS113" s="4">
        <f>IF(ISNUMBER('Chemical Data'!AS458),'Chemical Data'!AS458,"")</f>
        <v>0.36</v>
      </c>
    </row>
    <row r="114" spans="1:48" x14ac:dyDescent="0.3">
      <c r="A114" s="61">
        <v>45644</v>
      </c>
      <c r="B114" s="74">
        <v>1</v>
      </c>
      <c r="C114" s="61" t="s">
        <v>285</v>
      </c>
      <c r="D114" s="61"/>
      <c r="E114" s="61" t="s">
        <v>287</v>
      </c>
      <c r="F114" s="61"/>
      <c r="G114" s="61"/>
      <c r="H114" s="61" t="s">
        <v>218</v>
      </c>
      <c r="I114" s="74"/>
      <c r="J114" s="4">
        <f>IF(ISNUMBER('Chemical Data'!J459),'Chemical Data'!J459,"")</f>
        <v>3</v>
      </c>
      <c r="K114" s="4" t="s">
        <v>96</v>
      </c>
      <c r="L114" s="2">
        <f>IF(ISNUMBER('Chemical Data'!L459),'Chemical Data'!L459,"")</f>
        <v>6.19</v>
      </c>
      <c r="M114" s="2">
        <f>IF(ISNUMBER('Chemical Data'!M459),'Chemical Data'!M459,"")</f>
        <v>5.4</v>
      </c>
      <c r="N114" s="4">
        <f>IF(ISNUMBER('Chemical Data'!N459),'Chemical Data'!N459,"")</f>
        <v>616</v>
      </c>
      <c r="O114" s="4" t="str">
        <f>IF(ISNUMBER('Chemical Data'!O459),'Chemical Data'!O459,"")</f>
        <v/>
      </c>
      <c r="P114" s="4" t="str">
        <f>IF(ISNUMBER('Chemical Data'!P459),'Chemical Data'!P459,"")</f>
        <v/>
      </c>
      <c r="Q114" s="4" t="str">
        <f>IF(ISNUMBER('Chemical Data'!Q459),'Chemical Data'!Q459,"")</f>
        <v/>
      </c>
      <c r="R114" s="4">
        <v>30.2</v>
      </c>
      <c r="S114" s="4">
        <f>IF(ISNUMBER('Chemical Data'!S459),'Chemical Data'!S459,"")</f>
        <v>28.6</v>
      </c>
      <c r="T114" s="4">
        <f>IF(ISNUMBER('Chemical Data'!T459),'Chemical Data'!T459,"")</f>
        <v>43.169082711451736</v>
      </c>
      <c r="U114" s="4"/>
      <c r="V114" s="4"/>
      <c r="W114" s="4">
        <f>IF(ISNUMBER('Chemical Data'!W459),'Chemical Data'!W459,"")</f>
        <v>43.460999999999999</v>
      </c>
      <c r="X114" s="4">
        <f>IF(ISNUMBER('Chemical Data'!X459),'Chemical Data'!X459,"")</f>
        <v>29.72</v>
      </c>
      <c r="Y114" s="3">
        <f t="shared" ref="Y114" si="86">IF(W114-X114&lt;0,0,W114-X114)</f>
        <v>13.741</v>
      </c>
      <c r="Z114" s="52">
        <f>IF(ISNUMBER('Chemical Data'!Z459),'Chemical Data'!Z459,"")</f>
        <v>0.5</v>
      </c>
      <c r="AA114" s="4">
        <f>IF(ISNUMBER('Chemical Data'!AA459),'Chemical Data'!AA459,"")</f>
        <v>2.41</v>
      </c>
      <c r="AB114" s="4">
        <f>IF(ISNUMBER('Chemical Data'!AB459),'Chemical Data'!AB459,"")</f>
        <v>1003.1</v>
      </c>
      <c r="AC114" s="4" t="str">
        <f>IF(ISNUMBER('Chemical Data'!AC459),'Chemical Data'!AC459,"")</f>
        <v/>
      </c>
      <c r="AD114" s="4" t="str">
        <f>IF(ISNUMBER('Chemical Data'!AD459),'Chemical Data'!AD459,"")</f>
        <v/>
      </c>
      <c r="AE114" s="4" t="str">
        <f>IF(ISNUMBER('Chemical Data'!AE459),'Chemical Data'!AE459,"")</f>
        <v/>
      </c>
      <c r="AF114" s="4" t="str">
        <f>IF(ISNUMBER('Chemical Data'!AF459),'Chemical Data'!AF459,"")</f>
        <v/>
      </c>
      <c r="AG114" s="4" t="str">
        <f>IF(ISNUMBER('Chemical Data'!AG459),'Chemical Data'!AG459,"")</f>
        <v/>
      </c>
      <c r="AH114" s="4" t="str">
        <f>IF(ISNUMBER('Chemical Data'!AH459),'Chemical Data'!AH459,"")</f>
        <v/>
      </c>
      <c r="AI114" s="4" t="str">
        <f>IF(ISNUMBER('Chemical Data'!AI459),'Chemical Data'!AI459,"")</f>
        <v/>
      </c>
      <c r="AJ114" s="4" t="str">
        <f>IF(ISNUMBER('Chemical Data'!AJ459),'Chemical Data'!AJ459,"")</f>
        <v/>
      </c>
      <c r="AK114" s="4">
        <f>IF(ISNUMBER('Chemical Data'!AK459),'Chemical Data'!AK459,"")</f>
        <v>43</v>
      </c>
      <c r="AL114" s="4">
        <f>IF(ISNUMBER('Chemical Data'!AL459),'Chemical Data'!AL459,"")</f>
        <v>454</v>
      </c>
      <c r="AM114" s="4" t="str">
        <f>IF(ISNUMBER('Chemical Data'!AM459),'Chemical Data'!AM459,"")</f>
        <v/>
      </c>
      <c r="AN114" s="4">
        <f>IF(ISNUMBER('Chemical Data'!AN459),'Chemical Data'!AN459,"")</f>
        <v>1.0296000000000001</v>
      </c>
      <c r="AO114" s="4">
        <f>IF(ISNUMBER('Chemical Data'!AO459),'Chemical Data'!AO459,"")</f>
        <v>1.06992</v>
      </c>
      <c r="AP114" s="4">
        <f>IF(ISNUMBER('Chemical Data'!AP459),'Chemical Data'!AP459,"")</f>
        <v>1.8000000000000002E-2</v>
      </c>
      <c r="AQ114" s="4">
        <f>IF(ISNUMBER('Chemical Data'!AQ459),'Chemical Data'!AQ459,"")</f>
        <v>8.6760000000000004E-2</v>
      </c>
      <c r="AR114" s="4">
        <f>IF(ISNUMBER('Chemical Data'!AR459),'Chemical Data'!AR459,"")</f>
        <v>36.111600000000003</v>
      </c>
      <c r="AS114" s="4">
        <f>IF(ISNUMBER('Chemical Data'!AS459),'Chemical Data'!AS459,"")</f>
        <v>0.51839999999999997</v>
      </c>
    </row>
    <row r="115" spans="1:48" x14ac:dyDescent="0.3">
      <c r="A115" s="61">
        <v>45687</v>
      </c>
      <c r="B115" s="74">
        <v>1</v>
      </c>
      <c r="C115" s="61" t="s">
        <v>285</v>
      </c>
      <c r="D115" s="61"/>
      <c r="E115" s="61" t="s">
        <v>287</v>
      </c>
      <c r="F115" s="61"/>
      <c r="G115" s="61"/>
      <c r="H115" s="61" t="s">
        <v>218</v>
      </c>
      <c r="I115" s="74"/>
      <c r="J115" s="4">
        <f>IF(ISNUMBER('Chemical Data'!J460),'Chemical Data'!J460,"")</f>
        <v>1.6</v>
      </c>
      <c r="K115" s="4" t="s">
        <v>96</v>
      </c>
      <c r="L115" s="2">
        <f>IF(ISNUMBER('Chemical Data'!L460),'Chemical Data'!L460,"")</f>
        <v>5.98</v>
      </c>
      <c r="M115" s="2">
        <f>IF(ISNUMBER('Chemical Data'!M460),'Chemical Data'!M460,"")</f>
        <v>5.5</v>
      </c>
      <c r="N115" s="4">
        <f>IF(ISNUMBER('Chemical Data'!N460),'Chemical Data'!N460,"")</f>
        <v>711</v>
      </c>
      <c r="O115" s="4" t="str">
        <f>IF(ISNUMBER('Chemical Data'!O460),'Chemical Data'!O460,"")</f>
        <v/>
      </c>
      <c r="P115" s="4">
        <f>IF(ISNUMBER('Chemical Data'!P460),'Chemical Data'!P460,"")</f>
        <v>6.5</v>
      </c>
      <c r="Q115" s="4">
        <f>IF(ISNUMBER('Chemical Data'!Q460),'Chemical Data'!Q460,"")</f>
        <v>45</v>
      </c>
      <c r="R115" s="4">
        <v>31.2</v>
      </c>
      <c r="S115" s="4">
        <f>IF(ISNUMBER('Chemical Data'!S460),'Chemical Data'!S460,"")</f>
        <v>41.2</v>
      </c>
      <c r="T115" s="4">
        <f>IF(ISNUMBER('Chemical Data'!T460),'Chemical Data'!T460,"")</f>
        <v>55.306726427402538</v>
      </c>
      <c r="U115" s="4"/>
      <c r="V115" s="4"/>
      <c r="W115" s="4">
        <f>IF(ISNUMBER('Chemical Data'!W460),'Chemical Data'!W460,"")</f>
        <v>35.725000000000001</v>
      </c>
      <c r="X115" s="4">
        <f>IF(ISNUMBER('Chemical Data'!X460),'Chemical Data'!X460,"")</f>
        <v>34.802999999999997</v>
      </c>
      <c r="Y115" s="3">
        <f t="shared" ref="Y115" si="87">IF(W115-X115&lt;0,0,W115-X115)</f>
        <v>0.92200000000000415</v>
      </c>
      <c r="Z115" s="52">
        <f>IF(ISNUMBER('Chemical Data'!Z460),'Chemical Data'!Z460,"")</f>
        <v>0.5</v>
      </c>
      <c r="AA115" s="4">
        <f>IF(ISNUMBER('Chemical Data'!AA460),'Chemical Data'!AA460,"")</f>
        <v>2.8650000000000002</v>
      </c>
      <c r="AB115" s="4">
        <f>IF(ISNUMBER('Chemical Data'!AB460),'Chemical Data'!AB460,"")</f>
        <v>308.89999999999998</v>
      </c>
      <c r="AC115" s="4" t="str">
        <f>IF(ISNUMBER('Chemical Data'!AC460),'Chemical Data'!AC460,"")</f>
        <v/>
      </c>
      <c r="AD115" s="4" t="str">
        <f>IF(ISNUMBER('Chemical Data'!AD460),'Chemical Data'!AD460,"")</f>
        <v/>
      </c>
      <c r="AE115" s="4" t="str">
        <f>IF(ISNUMBER('Chemical Data'!AE460),'Chemical Data'!AE460,"")</f>
        <v/>
      </c>
      <c r="AF115" s="4" t="str">
        <f>IF(ISNUMBER('Chemical Data'!AF460),'Chemical Data'!AF460,"")</f>
        <v/>
      </c>
      <c r="AG115" s="4" t="str">
        <f>IF(ISNUMBER('Chemical Data'!AG460),'Chemical Data'!AG460,"")</f>
        <v/>
      </c>
      <c r="AH115" s="4" t="str">
        <f>IF(ISNUMBER('Chemical Data'!AH460),'Chemical Data'!AH460,"")</f>
        <v/>
      </c>
      <c r="AI115" s="4" t="str">
        <f>IF(ISNUMBER('Chemical Data'!AI460),'Chemical Data'!AI460,"")</f>
        <v/>
      </c>
      <c r="AJ115" s="4" t="str">
        <f>IF(ISNUMBER('Chemical Data'!AJ460),'Chemical Data'!AJ460,"")</f>
        <v/>
      </c>
      <c r="AK115" s="4" t="str">
        <f>IF(ISNUMBER('Chemical Data'!AK460),'Chemical Data'!AK460,"")</f>
        <v/>
      </c>
      <c r="AL115" s="4">
        <f>IF(ISNUMBER('Chemical Data'!AL460),'Chemical Data'!AL460,"")</f>
        <v>484</v>
      </c>
      <c r="AM115" s="4" t="str">
        <f>IF(ISNUMBER('Chemical Data'!AM460),'Chemical Data'!AM460,"")</f>
        <v/>
      </c>
      <c r="AN115" s="4">
        <f>IF(ISNUMBER('Chemical Data'!AN460),'Chemical Data'!AN460,"")</f>
        <v>0.79104000000000008</v>
      </c>
      <c r="AO115" s="4">
        <f>IF(ISNUMBER('Chemical Data'!AO460),'Chemical Data'!AO460,"")</f>
        <v>0.66821759999999997</v>
      </c>
      <c r="AP115" s="4">
        <f>IF(ISNUMBER('Chemical Data'!AP460),'Chemical Data'!AP460,"")</f>
        <v>9.6000000000000009E-3</v>
      </c>
      <c r="AQ115" s="4">
        <f>IF(ISNUMBER('Chemical Data'!AQ460),'Chemical Data'!AQ460,"")</f>
        <v>5.5008000000000008E-2</v>
      </c>
      <c r="AR115" s="4">
        <f>IF(ISNUMBER('Chemical Data'!AR460),'Chemical Data'!AR460,"")</f>
        <v>5.9308800000000002</v>
      </c>
      <c r="AS115" s="4">
        <f>IF(ISNUMBER('Chemical Data'!AS460),'Chemical Data'!AS460,"")</f>
        <v>0.23424</v>
      </c>
    </row>
    <row r="116" spans="1:48" s="7" customFormat="1" x14ac:dyDescent="0.3">
      <c r="A116" s="45" t="s">
        <v>144</v>
      </c>
      <c r="J116" s="20">
        <f>AVERAGE(J102:J115)</f>
        <v>1.775714285714286</v>
      </c>
      <c r="K116" s="20"/>
      <c r="L116" s="50">
        <f t="shared" ref="L116:T116" si="88">AVERAGE(L102:L115)</f>
        <v>6.006153846153846</v>
      </c>
      <c r="M116" s="50">
        <f t="shared" si="88"/>
        <v>5.7857142857142865</v>
      </c>
      <c r="N116" s="20">
        <f t="shared" si="88"/>
        <v>658.46153846153845</v>
      </c>
      <c r="O116" s="20">
        <f t="shared" si="88"/>
        <v>669.5</v>
      </c>
      <c r="P116" s="20">
        <f t="shared" si="88"/>
        <v>11.988888888888889</v>
      </c>
      <c r="Q116" s="20">
        <f t="shared" si="88"/>
        <v>59.666666666666664</v>
      </c>
      <c r="R116" s="20">
        <f t="shared" si="88"/>
        <v>28.957142857142852</v>
      </c>
      <c r="S116" s="20">
        <f t="shared" si="88"/>
        <v>37.414285714285718</v>
      </c>
      <c r="T116" s="20">
        <f t="shared" si="88"/>
        <v>37.491464621974409</v>
      </c>
      <c r="U116" s="20"/>
      <c r="V116" s="20"/>
      <c r="W116" s="20">
        <f t="shared" ref="W116:AL116" si="89">AVERAGE(W102:W115)</f>
        <v>39.358357142857137</v>
      </c>
      <c r="X116" s="20">
        <f t="shared" si="89"/>
        <v>33.643357142857141</v>
      </c>
      <c r="Y116" s="20">
        <f t="shared" si="89"/>
        <v>5.7562142857142851</v>
      </c>
      <c r="Z116" s="30">
        <f t="shared" si="89"/>
        <v>0.40714285714285714</v>
      </c>
      <c r="AA116" s="20">
        <f t="shared" si="89"/>
        <v>2.7656428571428573</v>
      </c>
      <c r="AB116" s="20">
        <f t="shared" si="89"/>
        <v>364.16923076923075</v>
      </c>
      <c r="AC116" s="20">
        <f t="shared" si="89"/>
        <v>77.150000000000006</v>
      </c>
      <c r="AD116" s="20">
        <f t="shared" si="89"/>
        <v>29.7</v>
      </c>
      <c r="AE116" s="20">
        <f t="shared" si="89"/>
        <v>2.96</v>
      </c>
      <c r="AF116" s="20">
        <f t="shared" si="89"/>
        <v>2.1749999999999998</v>
      </c>
      <c r="AG116" s="20">
        <f t="shared" si="89"/>
        <v>4</v>
      </c>
      <c r="AH116" s="20">
        <f t="shared" si="89"/>
        <v>0.05</v>
      </c>
      <c r="AI116" s="20">
        <f t="shared" si="89"/>
        <v>0.03</v>
      </c>
      <c r="AJ116" s="20">
        <f t="shared" si="89"/>
        <v>0.2</v>
      </c>
      <c r="AK116" s="20">
        <f t="shared" si="89"/>
        <v>40</v>
      </c>
      <c r="AL116" s="20">
        <f t="shared" si="89"/>
        <v>492.18181818181819</v>
      </c>
      <c r="AM116" s="20"/>
      <c r="AN116" s="20">
        <f t="shared" ref="AN116:AS116" si="90">AVERAGE(AN102:AN115)</f>
        <v>0.77049257142857164</v>
      </c>
      <c r="AO116" s="20">
        <f t="shared" si="90"/>
        <v>0.78553015714285723</v>
      </c>
      <c r="AP116" s="20">
        <f t="shared" si="90"/>
        <v>8.8285714285714322E-3</v>
      </c>
      <c r="AQ116" s="20">
        <f t="shared" si="90"/>
        <v>5.9160540000000018E-2</v>
      </c>
      <c r="AR116" s="20">
        <f t="shared" si="90"/>
        <v>7.6051517142857152</v>
      </c>
      <c r="AS116" s="20">
        <f t="shared" si="90"/>
        <v>0.6024085714285714</v>
      </c>
      <c r="AT116" s="20"/>
      <c r="AU116" s="20"/>
      <c r="AV116" s="20"/>
    </row>
    <row r="117" spans="1:48" ht="14.25" customHeight="1" x14ac:dyDescent="0.3">
      <c r="A117" s="61"/>
      <c r="B117" s="61"/>
      <c r="C117" s="61"/>
      <c r="D117" s="61"/>
      <c r="E117" s="61"/>
      <c r="F117" s="61"/>
      <c r="G117" s="61"/>
      <c r="H117" s="61"/>
      <c r="I117" s="74"/>
      <c r="J117" s="4"/>
      <c r="K117" s="4"/>
      <c r="L117" s="2"/>
      <c r="M117" s="2"/>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1"/>
    </row>
    <row r="118" spans="1:48" ht="14.25" customHeight="1" x14ac:dyDescent="0.3">
      <c r="A118" s="61">
        <f>'Chemical Data'!A462</f>
        <v>45098</v>
      </c>
      <c r="B118" s="61" t="str">
        <f>'Chemical Data'!B462</f>
        <v>027</v>
      </c>
      <c r="C118" s="61" t="str">
        <f>'Chemical Data'!C462</f>
        <v>PD2</v>
      </c>
      <c r="D118" s="61"/>
      <c r="E118" s="61" t="str">
        <f>'Chemical Data'!E462</f>
        <v>Penn Run AMD -2 North side</v>
      </c>
      <c r="F118" s="61"/>
      <c r="G118" s="61"/>
      <c r="H118" s="61" t="str">
        <f>'Chemical Data'!H462</f>
        <v>Hedin</v>
      </c>
      <c r="I118" s="74"/>
      <c r="J118" s="4">
        <f>IF(ISNUMBER('Chemical Data'!J462),'Chemical Data'!J462,"")</f>
        <v>46.1</v>
      </c>
      <c r="K118" s="4" t="s">
        <v>96</v>
      </c>
      <c r="L118" s="2">
        <f>IF(ISNUMBER('Chemical Data'!L462),'Chemical Data'!L462,"")</f>
        <v>6.01</v>
      </c>
      <c r="M118" s="2">
        <f>IF(ISNUMBER('Chemical Data'!M462),'Chemical Data'!M462,"")</f>
        <v>6</v>
      </c>
      <c r="N118" s="4">
        <f>IF(ISNUMBER('Chemical Data'!N462),'Chemical Data'!N462,"")</f>
        <v>631</v>
      </c>
      <c r="O118" s="4">
        <f>IF(ISNUMBER('Chemical Data'!O462),'Chemical Data'!O462,"")</f>
        <v>704</v>
      </c>
      <c r="P118" s="4">
        <f>IF(ISNUMBER('Chemical Data'!P462),'Chemical Data'!P462,"")</f>
        <v>10.9</v>
      </c>
      <c r="Q118" s="4">
        <f>IF(ISNUMBER('Chemical Data'!Q462),'Chemical Data'!Q462,"")</f>
        <v>49</v>
      </c>
      <c r="R118" s="4">
        <f>IF(ISNUMBER('Chemical Data'!R462),'Chemical Data'!R462,"")</f>
        <v>43.2</v>
      </c>
      <c r="S118" s="4">
        <f>IF(ISNUMBER('Chemical Data'!S462),'Chemical Data'!S462,"")</f>
        <v>53.6</v>
      </c>
      <c r="T118" s="4">
        <f>IF(ISNUMBER('Chemical Data'!T462),'Chemical Data'!T462,"")</f>
        <v>32.182281861047798</v>
      </c>
      <c r="U118" s="4"/>
      <c r="V118" s="4"/>
      <c r="W118" s="4">
        <f>IF(ISNUMBER('Chemical Data'!W462),'Chemical Data'!W462,"")</f>
        <v>43.6</v>
      </c>
      <c r="X118" s="4">
        <f>IF(ISNUMBER('Chemical Data'!X462),'Chemical Data'!X462,"")</f>
        <v>38.898000000000003</v>
      </c>
      <c r="Y118" s="3">
        <f>IF(W118-X118&lt;0,0,W118-X118)</f>
        <v>4.7019999999999982</v>
      </c>
      <c r="Z118" s="4">
        <f>IF(ISNUMBER('Chemical Data'!Z462),'Chemical Data'!Z462,"")</f>
        <v>0.3</v>
      </c>
      <c r="AA118" s="4">
        <f>IF(ISNUMBER('Chemical Data'!AA462),'Chemical Data'!AA462,"")</f>
        <v>3.17</v>
      </c>
      <c r="AB118" s="4" t="str">
        <f>IF(ISNUMBER('Chemical Data'!AB462),'Chemical Data'!AB462,"")</f>
        <v/>
      </c>
      <c r="AC118" s="4">
        <f>IF(ISNUMBER('Chemical Data'!AC462),'Chemical Data'!AC462,"")</f>
        <v>73.3</v>
      </c>
      <c r="AD118" s="4">
        <f>IF(ISNUMBER('Chemical Data'!AD462),'Chemical Data'!AD462,"")</f>
        <v>29.7</v>
      </c>
      <c r="AE118" s="4">
        <f>IF(ISNUMBER('Chemical Data'!AE462),'Chemical Data'!AE462,"")</f>
        <v>2.84</v>
      </c>
      <c r="AF118" s="4">
        <f>IF(ISNUMBER('Chemical Data'!AF462),'Chemical Data'!AF462,"")</f>
        <v>2.2000000000000002</v>
      </c>
      <c r="AG118" s="4">
        <f>IF(ISNUMBER('Chemical Data'!AG462),'Chemical Data'!AG462,"")</f>
        <v>4</v>
      </c>
      <c r="AH118" s="4">
        <f>IF(ISNUMBER('Chemical Data'!AH462),'Chemical Data'!AH462,"")</f>
        <v>0.05</v>
      </c>
      <c r="AI118" s="4">
        <f>IF(ISNUMBER('Chemical Data'!AI462),'Chemical Data'!AI462,"")</f>
        <v>0.03</v>
      </c>
      <c r="AJ118" s="4">
        <f>IF(ISNUMBER('Chemical Data'!AJ462),'Chemical Data'!AJ462,"")</f>
        <v>0.2</v>
      </c>
      <c r="AK118" s="4"/>
      <c r="AL118" s="4"/>
      <c r="AM118" s="4" t="str">
        <f>IF(ISNUMBER('Chemical Data'!AM462),'Chemical Data'!AM462,"")</f>
        <v/>
      </c>
      <c r="AN118" s="4">
        <f>IF(ISNUMBER('Chemical Data'!AN462),'Chemical Data'!AN462,"")</f>
        <v>29.651520000000001</v>
      </c>
      <c r="AO118" s="4">
        <f>IF(ISNUMBER('Chemical Data'!AO462),'Chemical Data'!AO462,"")</f>
        <v>24.119520000000001</v>
      </c>
      <c r="AP118" s="4">
        <f>IF(ISNUMBER('Chemical Data'!AP462),'Chemical Data'!AP462,"")</f>
        <v>0.16596</v>
      </c>
      <c r="AQ118" s="4">
        <f>IF(ISNUMBER('Chemical Data'!AQ462),'Chemical Data'!AQ462,"")</f>
        <v>1.753644</v>
      </c>
      <c r="AR118" s="4">
        <f>IF(ISNUMBER('Chemical Data'!AR462),'Chemical Data'!AR462,"")</f>
        <v>0</v>
      </c>
      <c r="AS118" s="1">
        <f t="shared" si="17"/>
        <v>23.898240000000001</v>
      </c>
    </row>
    <row r="119" spans="1:48" ht="14.25" customHeight="1" x14ac:dyDescent="0.3">
      <c r="A119" s="61">
        <f>'Chemical Data'!A463</f>
        <v>45169</v>
      </c>
      <c r="B119" s="61" t="str">
        <f>'Chemical Data'!B463</f>
        <v>013</v>
      </c>
      <c r="C119" s="61" t="str">
        <f>'Chemical Data'!C463</f>
        <v>PD2</v>
      </c>
      <c r="D119" s="61"/>
      <c r="E119" s="61" t="str">
        <f>'Chemical Data'!E463</f>
        <v>Penn Run AMD -2 North side</v>
      </c>
      <c r="F119" s="61"/>
      <c r="G119" s="61"/>
      <c r="H119" s="61" t="str">
        <f>'Chemical Data'!H463</f>
        <v>SFU</v>
      </c>
      <c r="I119" s="74">
        <v>1.9490000000000001</v>
      </c>
      <c r="J119" s="4">
        <f>IF(ISNUMBER('Chemical Data'!J463),'Chemical Data'!J463,"")</f>
        <v>71.3</v>
      </c>
      <c r="K119" s="4" t="s">
        <v>96</v>
      </c>
      <c r="L119" s="2">
        <f>IF(ISNUMBER('Chemical Data'!L463),'Chemical Data'!L463,"")</f>
        <v>5.89</v>
      </c>
      <c r="M119" s="2">
        <f>IF(ISNUMBER('Chemical Data'!M463),'Chemical Data'!M463,"")</f>
        <v>5.9</v>
      </c>
      <c r="N119" s="4">
        <f>IF(ISNUMBER('Chemical Data'!N463),'Chemical Data'!N463,"")</f>
        <v>736</v>
      </c>
      <c r="O119" s="4">
        <f>IF(ISNUMBER('Chemical Data'!O463),'Chemical Data'!O463,"")</f>
        <v>697</v>
      </c>
      <c r="P119" s="4" t="str">
        <f>IF(ISNUMBER('Chemical Data'!P463),'Chemical Data'!P463,"")</f>
        <v/>
      </c>
      <c r="Q119" s="4" t="str">
        <f>IF(ISNUMBER('Chemical Data'!Q463),'Chemical Data'!Q463,"")</f>
        <v/>
      </c>
      <c r="R119" s="4">
        <f>IF(ISNUMBER('Chemical Data'!R463),'Chemical Data'!R463,"")</f>
        <v>29.8</v>
      </c>
      <c r="S119" s="4">
        <f>IF(ISNUMBER('Chemical Data'!S463),'Chemical Data'!S463,"")</f>
        <v>78.400000000000006</v>
      </c>
      <c r="T119" s="4">
        <f>IF(ISNUMBER('Chemical Data'!T463),'Chemical Data'!T463,"")</f>
        <v>52.905912477584664</v>
      </c>
      <c r="U119" s="4"/>
      <c r="V119" s="4"/>
      <c r="W119" s="4">
        <f>IF(ISNUMBER('Chemical Data'!W463),'Chemical Data'!W463,"")</f>
        <v>46</v>
      </c>
      <c r="X119" s="4">
        <f>IF(ISNUMBER('Chemical Data'!X463),'Chemical Data'!X463,"")</f>
        <v>42.85</v>
      </c>
      <c r="Y119" s="3">
        <f t="shared" ref="Y119:Y122" si="91">IF(W119-X119&lt;0,0,W119-X119)</f>
        <v>3.1499999999999986</v>
      </c>
      <c r="Z119" s="4">
        <f>IF(ISNUMBER('Chemical Data'!Z463),'Chemical Data'!Z463,"")</f>
        <v>0.3</v>
      </c>
      <c r="AA119" s="4">
        <f>IF(ISNUMBER('Chemical Data'!AA463),'Chemical Data'!AA463,"")</f>
        <v>3.3</v>
      </c>
      <c r="AB119" s="4">
        <f>IF(ISNUMBER('Chemical Data'!AB463),'Chemical Data'!AB463,"")</f>
        <v>339</v>
      </c>
      <c r="AC119" s="4">
        <f>IF(ISNUMBER('Chemical Data'!AC463),'Chemical Data'!AC463,"")</f>
        <v>76.900000000000006</v>
      </c>
      <c r="AD119" s="4">
        <f>IF(ISNUMBER('Chemical Data'!AD463),'Chemical Data'!AD463,"")</f>
        <v>30.6</v>
      </c>
      <c r="AE119" s="4">
        <f>IF(ISNUMBER('Chemical Data'!AE463),'Chemical Data'!AE463,"")</f>
        <v>2.96</v>
      </c>
      <c r="AF119" s="4">
        <f>IF(ISNUMBER('Chemical Data'!AF463),'Chemical Data'!AF463,"")</f>
        <v>2.2400000000000002</v>
      </c>
      <c r="AG119" s="4">
        <f>IF(ISNUMBER('Chemical Data'!AG463),'Chemical Data'!AG463,"")</f>
        <v>4</v>
      </c>
      <c r="AH119" s="4">
        <f>IF(ISNUMBER('Chemical Data'!AH463),'Chemical Data'!AH463,"")</f>
        <v>0.05</v>
      </c>
      <c r="AI119" s="4">
        <f>IF(ISNUMBER('Chemical Data'!AI463),'Chemical Data'!AI463,"")</f>
        <v>0.03</v>
      </c>
      <c r="AJ119" s="4">
        <f>IF(ISNUMBER('Chemical Data'!AJ463),'Chemical Data'!AJ463,"")</f>
        <v>0.2</v>
      </c>
      <c r="AK119" s="4"/>
      <c r="AL119" s="4"/>
      <c r="AM119" s="4" t="str">
        <f>IF(ISNUMBER('Chemical Data'!AM463),'Chemical Data'!AM463,"")</f>
        <v/>
      </c>
      <c r="AN119" s="4">
        <f>IF(ISNUMBER('Chemical Data'!AN463),'Chemical Data'!AN463,"")</f>
        <v>67.079040000000006</v>
      </c>
      <c r="AO119" s="4">
        <f>IF(ISNUMBER('Chemical Data'!AO463),'Chemical Data'!AO463,"")</f>
        <v>39.357599999999998</v>
      </c>
      <c r="AP119" s="4">
        <f>IF(ISNUMBER('Chemical Data'!AP463),'Chemical Data'!AP463,"")</f>
        <v>0.25667999999999996</v>
      </c>
      <c r="AQ119" s="4">
        <f>IF(ISNUMBER('Chemical Data'!AQ463),'Chemical Data'!AQ463,"")</f>
        <v>2.82348</v>
      </c>
      <c r="AR119" s="4">
        <f>IF(ISNUMBER('Chemical Data'!AR463),'Chemical Data'!AR463,"")</f>
        <v>290.04840000000002</v>
      </c>
      <c r="AS119" s="1">
        <f t="shared" si="17"/>
        <v>25.496880000000001</v>
      </c>
    </row>
    <row r="120" spans="1:48" ht="14.25" customHeight="1" x14ac:dyDescent="0.3">
      <c r="A120" s="61">
        <v>45352</v>
      </c>
      <c r="B120" s="61"/>
      <c r="C120" s="61" t="s">
        <v>286</v>
      </c>
      <c r="D120" s="61"/>
      <c r="E120" s="61" t="s">
        <v>288</v>
      </c>
      <c r="F120" s="61"/>
      <c r="G120" s="61"/>
      <c r="H120" s="61" t="s">
        <v>218</v>
      </c>
      <c r="I120" s="74"/>
      <c r="J120" s="4">
        <f>(87.33+21.83)*0.6666</f>
        <v>72.766055999999992</v>
      </c>
      <c r="K120" s="4" t="s">
        <v>96</v>
      </c>
      <c r="L120" s="2">
        <v>6.17</v>
      </c>
      <c r="M120" s="2">
        <f>M148</f>
        <v>5.8</v>
      </c>
      <c r="N120" s="4">
        <v>674</v>
      </c>
      <c r="O120" s="4"/>
      <c r="P120" s="4">
        <v>10.3</v>
      </c>
      <c r="Q120" s="4"/>
      <c r="R120" s="4">
        <f>R148</f>
        <v>39</v>
      </c>
      <c r="S120" s="4">
        <f t="shared" ref="S120:AB120" si="92">S148</f>
        <v>48.6</v>
      </c>
      <c r="T120" s="4">
        <f t="shared" si="92"/>
        <v>39.013341548545952</v>
      </c>
      <c r="U120" s="4"/>
      <c r="V120" s="4"/>
      <c r="W120" s="4">
        <f t="shared" si="92"/>
        <v>42.887</v>
      </c>
      <c r="X120" s="4">
        <f>X148</f>
        <v>40.225000000000001</v>
      </c>
      <c r="Y120" s="3">
        <f>IF(W120-X120&lt;0,0,W120-X120)</f>
        <v>2.661999999999999</v>
      </c>
      <c r="Z120" s="4">
        <f t="shared" si="92"/>
        <v>0.5</v>
      </c>
      <c r="AA120" s="4">
        <f t="shared" si="92"/>
        <v>3.32</v>
      </c>
      <c r="AB120" s="4">
        <f t="shared" si="92"/>
        <v>326</v>
      </c>
      <c r="AC120" s="4"/>
      <c r="AD120" s="4"/>
      <c r="AE120" s="4"/>
      <c r="AF120" s="4"/>
      <c r="AG120" s="4"/>
      <c r="AH120" s="4"/>
      <c r="AI120" s="4"/>
      <c r="AJ120" s="4"/>
      <c r="AK120" s="4"/>
      <c r="AL120" s="4"/>
      <c r="AM120" s="4"/>
      <c r="AN120" s="1">
        <f>S120*J120*0.012</f>
        <v>42.437163859199998</v>
      </c>
      <c r="AO120" s="1">
        <f>W120*J120*0.012</f>
        <v>37.448614124063994</v>
      </c>
      <c r="AP120" s="1">
        <f>Z120*J120*0.012</f>
        <v>0.43659633599999997</v>
      </c>
      <c r="AQ120" s="1">
        <f>AA120*J120*0.012</f>
        <v>2.8989996710399994</v>
      </c>
      <c r="AR120" s="1">
        <f>AB120*J120*0.012</f>
        <v>284.66081107199994</v>
      </c>
      <c r="AS120" s="1">
        <f t="shared" si="17"/>
        <v>34.054514208000001</v>
      </c>
    </row>
    <row r="121" spans="1:48" ht="14.25" customHeight="1" x14ac:dyDescent="0.3">
      <c r="A121" s="61">
        <v>45392</v>
      </c>
      <c r="B121" s="74">
        <v>2</v>
      </c>
      <c r="C121" s="61" t="s">
        <v>286</v>
      </c>
      <c r="D121" s="61"/>
      <c r="E121" s="61" t="s">
        <v>288</v>
      </c>
      <c r="F121" s="61"/>
      <c r="G121" s="61"/>
      <c r="H121" s="61" t="s">
        <v>218</v>
      </c>
      <c r="I121" s="74"/>
      <c r="J121" s="4">
        <f>IF(ISNUMBER('Chemical Data'!J465),'Chemical Data'!J465,"")</f>
        <v>92.6</v>
      </c>
      <c r="K121" s="4" t="s">
        <v>96</v>
      </c>
      <c r="L121" s="2">
        <f>IF(ISNUMBER('Chemical Data'!L465),'Chemical Data'!L465,"")</f>
        <v>5.97</v>
      </c>
      <c r="M121" s="2">
        <f>IF(ISNUMBER('Chemical Data'!M465),'Chemical Data'!M465,"")</f>
        <v>6</v>
      </c>
      <c r="N121" s="4">
        <f>IF(ISNUMBER('Chemical Data'!N465),'Chemical Data'!N465,"")</f>
        <v>617</v>
      </c>
      <c r="O121" s="4" t="str">
        <f>IF(ISNUMBER('Chemical Data'!O465),'Chemical Data'!O465,"")</f>
        <v/>
      </c>
      <c r="P121" s="4">
        <f>IF(ISNUMBER('Chemical Data'!P465),'Chemical Data'!P465,"")</f>
        <v>10.4</v>
      </c>
      <c r="Q121" s="4">
        <f>IF(ISNUMBER('Chemical Data'!Q465),'Chemical Data'!Q465,"")</f>
        <v>42</v>
      </c>
      <c r="R121" s="4">
        <f>IF(ISNUMBER('Chemical Data'!R465),'Chemical Data'!R465,"")</f>
        <v>46.6</v>
      </c>
      <c r="S121" s="4">
        <f>IF(ISNUMBER('Chemical Data'!S465),'Chemical Data'!S465,"")</f>
        <v>46.2</v>
      </c>
      <c r="T121" s="4">
        <f>IF(ISNUMBER('Chemical Data'!T465),'Chemical Data'!T465,"")</f>
        <v>30.76411596526188</v>
      </c>
      <c r="U121" s="4"/>
      <c r="V121" s="4"/>
      <c r="W121" s="4">
        <f>IF(ISNUMBER('Chemical Data'!W465),'Chemical Data'!W465,"")</f>
        <v>40.753999999999998</v>
      </c>
      <c r="X121" s="4">
        <f>IF(ISNUMBER('Chemical Data'!X465),'Chemical Data'!X465,"")</f>
        <v>37.485999999999997</v>
      </c>
      <c r="Y121" s="3">
        <f t="shared" si="91"/>
        <v>3.2680000000000007</v>
      </c>
      <c r="Z121" s="4">
        <f>IF(ISNUMBER('Chemical Data'!Z465),'Chemical Data'!Z465,"")</f>
        <v>0.5</v>
      </c>
      <c r="AA121" s="4">
        <f>IF(ISNUMBER('Chemical Data'!AA465),'Chemical Data'!AA465,"")</f>
        <v>3.117</v>
      </c>
      <c r="AB121" s="4">
        <f>IF(ISNUMBER('Chemical Data'!AB465),'Chemical Data'!AB465,"")</f>
        <v>300.5</v>
      </c>
      <c r="AC121" s="4" t="str">
        <f>IF(ISNUMBER('Chemical Data'!AC465),'Chemical Data'!AC465,"")</f>
        <v/>
      </c>
      <c r="AD121" s="4" t="str">
        <f>IF(ISNUMBER('Chemical Data'!AD465),'Chemical Data'!AD465,"")</f>
        <v/>
      </c>
      <c r="AE121" s="4" t="str">
        <f>IF(ISNUMBER('Chemical Data'!AE465),'Chemical Data'!AE465,"")</f>
        <v/>
      </c>
      <c r="AF121" s="4" t="str">
        <f>IF(ISNUMBER('Chemical Data'!AF465),'Chemical Data'!AF465,"")</f>
        <v/>
      </c>
      <c r="AG121" s="4" t="str">
        <f>IF(ISNUMBER('Chemical Data'!AG465),'Chemical Data'!AG465,"")</f>
        <v/>
      </c>
      <c r="AH121" s="4" t="str">
        <f>IF(ISNUMBER('Chemical Data'!AH465),'Chemical Data'!AH465,"")</f>
        <v/>
      </c>
      <c r="AI121" s="4" t="str">
        <f>IF(ISNUMBER('Chemical Data'!AI465),'Chemical Data'!AI465,"")</f>
        <v/>
      </c>
      <c r="AJ121" s="4" t="str">
        <f>IF(ISNUMBER('Chemical Data'!AJ465),'Chemical Data'!AJ465,"")</f>
        <v/>
      </c>
      <c r="AK121" s="4" t="str">
        <f>IF(ISNUMBER('Chemical Data'!AK465),'Chemical Data'!AK465,"")</f>
        <v/>
      </c>
      <c r="AL121" s="4">
        <f>IF(ISNUMBER('Chemical Data'!AL465),'Chemical Data'!AL465,"")</f>
        <v>508</v>
      </c>
      <c r="AM121" s="4" t="str">
        <f>IF(ISNUMBER('Chemical Data'!AM465),'Chemical Data'!AM465,"")</f>
        <v/>
      </c>
      <c r="AN121" s="4">
        <f>IF(ISNUMBER('Chemical Data'!AN465),'Chemical Data'!AN465,"")</f>
        <v>51.337440000000001</v>
      </c>
      <c r="AO121" s="4">
        <f>IF(ISNUMBER('Chemical Data'!AO465),'Chemical Data'!AO465,"")</f>
        <v>45.2858448</v>
      </c>
      <c r="AP121" s="4">
        <f>IF(ISNUMBER('Chemical Data'!AP465),'Chemical Data'!AP465,"")</f>
        <v>0.55559999999999998</v>
      </c>
      <c r="AQ121" s="4">
        <f>IF(ISNUMBER('Chemical Data'!AQ465),'Chemical Data'!AQ465,"")</f>
        <v>3.4636103999999994</v>
      </c>
      <c r="AR121" s="4">
        <f>IF(ISNUMBER('Chemical Data'!AR465),'Chemical Data'!AR465,"")</f>
        <v>333.91559999999998</v>
      </c>
      <c r="AS121" s="1">
        <f>0.012*J121*Q121</f>
        <v>46.670400000000001</v>
      </c>
    </row>
    <row r="122" spans="1:48" ht="14.25" customHeight="1" x14ac:dyDescent="0.3">
      <c r="A122" s="61">
        <v>45442</v>
      </c>
      <c r="B122" s="74">
        <v>2</v>
      </c>
      <c r="C122" s="61" t="s">
        <v>286</v>
      </c>
      <c r="D122" s="61"/>
      <c r="E122" s="61" t="s">
        <v>288</v>
      </c>
      <c r="F122" s="61"/>
      <c r="G122" s="61"/>
      <c r="H122" s="61" t="s">
        <v>218</v>
      </c>
      <c r="I122" s="74"/>
      <c r="J122" s="4">
        <f>IF(ISNUMBER('Chemical Data'!J466),'Chemical Data'!J466,"")</f>
        <v>60.6</v>
      </c>
      <c r="K122" s="4" t="s">
        <v>96</v>
      </c>
      <c r="L122" s="2">
        <f>IF(ISNUMBER('Chemical Data'!L466),'Chemical Data'!L466,"")</f>
        <v>5.82</v>
      </c>
      <c r="M122" s="2">
        <f>IF(ISNUMBER('Chemical Data'!M466),'Chemical Data'!M466,"")</f>
        <v>6.1</v>
      </c>
      <c r="N122" s="4">
        <f>IF(ISNUMBER('Chemical Data'!N466),'Chemical Data'!N466,"")</f>
        <v>703</v>
      </c>
      <c r="O122" s="4" t="str">
        <f>IF(ISNUMBER('Chemical Data'!O466),'Chemical Data'!O466,"")</f>
        <v/>
      </c>
      <c r="P122" s="4">
        <f>IF(ISNUMBER('Chemical Data'!P466),'Chemical Data'!P466,"")</f>
        <v>10.6</v>
      </c>
      <c r="Q122" s="4" t="str">
        <f>IF(ISNUMBER('Chemical Data'!Q466),'Chemical Data'!Q466,"")</f>
        <v/>
      </c>
      <c r="R122" s="4">
        <f>IF(ISNUMBER('Chemical Data'!R466),'Chemical Data'!R466,"")</f>
        <v>51.4</v>
      </c>
      <c r="S122" s="4">
        <f>IF(ISNUMBER('Chemical Data'!S466),'Chemical Data'!S466,"")</f>
        <v>44.4</v>
      </c>
      <c r="T122" s="4">
        <f>IF(ISNUMBER('Chemical Data'!T466),'Chemical Data'!T466,"")</f>
        <v>20.079008062421828</v>
      </c>
      <c r="U122" s="4"/>
      <c r="V122" s="4"/>
      <c r="W122" s="4">
        <f>IF(ISNUMBER('Chemical Data'!W466),'Chemical Data'!W466,"")</f>
        <v>40.237000000000002</v>
      </c>
      <c r="X122" s="4">
        <f>IF(ISNUMBER('Chemical Data'!X466),'Chemical Data'!X466,"")</f>
        <v>36.987000000000002</v>
      </c>
      <c r="Y122" s="3">
        <f t="shared" si="91"/>
        <v>3.25</v>
      </c>
      <c r="Z122" s="4">
        <f>IF(ISNUMBER('Chemical Data'!Z466),'Chemical Data'!Z466,"")</f>
        <v>0.5</v>
      </c>
      <c r="AA122" s="4">
        <f>IF(ISNUMBER('Chemical Data'!AA466),'Chemical Data'!AA466,"")</f>
        <v>2.887</v>
      </c>
      <c r="AB122" s="4">
        <f>IF(ISNUMBER('Chemical Data'!AB466),'Chemical Data'!AB466,"")</f>
        <v>315.5</v>
      </c>
      <c r="AC122" s="4" t="str">
        <f>IF(ISNUMBER('Chemical Data'!AC466),'Chemical Data'!AC466,"")</f>
        <v/>
      </c>
      <c r="AD122" s="4" t="str">
        <f>IF(ISNUMBER('Chemical Data'!AD466),'Chemical Data'!AD466,"")</f>
        <v/>
      </c>
      <c r="AE122" s="4" t="str">
        <f>IF(ISNUMBER('Chemical Data'!AE466),'Chemical Data'!AE466,"")</f>
        <v/>
      </c>
      <c r="AF122" s="4" t="str">
        <f>IF(ISNUMBER('Chemical Data'!AF466),'Chemical Data'!AF466,"")</f>
        <v/>
      </c>
      <c r="AG122" s="4" t="str">
        <f>IF(ISNUMBER('Chemical Data'!AG466),'Chemical Data'!AG466,"")</f>
        <v/>
      </c>
      <c r="AH122" s="4" t="str">
        <f>IF(ISNUMBER('Chemical Data'!AH466),'Chemical Data'!AH466,"")</f>
        <v/>
      </c>
      <c r="AI122" s="4" t="str">
        <f>IF(ISNUMBER('Chemical Data'!AI466),'Chemical Data'!AI466,"")</f>
        <v/>
      </c>
      <c r="AJ122" s="4" t="str">
        <f>IF(ISNUMBER('Chemical Data'!AJ466),'Chemical Data'!AJ466,"")</f>
        <v/>
      </c>
      <c r="AK122" s="4" t="str">
        <f>IF(ISNUMBER('Chemical Data'!AK466),'Chemical Data'!AK466,"")</f>
        <v/>
      </c>
      <c r="AL122" s="4">
        <f>IF(ISNUMBER('Chemical Data'!AL466),'Chemical Data'!AL466,"")</f>
        <v>550</v>
      </c>
      <c r="AM122" s="4" t="str">
        <f>IF(ISNUMBER('Chemical Data'!AM466),'Chemical Data'!AM466,"")</f>
        <v/>
      </c>
      <c r="AN122" s="4">
        <f>IF(ISNUMBER('Chemical Data'!AN466),'Chemical Data'!AN466,"")</f>
        <v>32.287680000000002</v>
      </c>
      <c r="AO122" s="4">
        <f>IF(ISNUMBER('Chemical Data'!AO466),'Chemical Data'!AO466,"")</f>
        <v>29.2603464</v>
      </c>
      <c r="AP122" s="4">
        <f>IF(ISNUMBER('Chemical Data'!AP466),'Chemical Data'!AP466,"")</f>
        <v>0.36360000000000003</v>
      </c>
      <c r="AQ122" s="4">
        <f>IF(ISNUMBER('Chemical Data'!AQ466),'Chemical Data'!AQ466,"")</f>
        <v>2.0994264</v>
      </c>
      <c r="AR122" s="4">
        <f>IF(ISNUMBER('Chemical Data'!AR466),'Chemical Data'!AR466,"")</f>
        <v>229.4316</v>
      </c>
      <c r="AS122" s="4">
        <f>IF(ISNUMBER('Chemical Data'!AS466),'Chemical Data'!AS466,"")</f>
        <v>37.378080000000004</v>
      </c>
    </row>
    <row r="123" spans="1:48" x14ac:dyDescent="0.3">
      <c r="A123" s="61">
        <v>45461</v>
      </c>
      <c r="B123" s="74">
        <v>2</v>
      </c>
      <c r="C123" s="61" t="s">
        <v>286</v>
      </c>
      <c r="D123" s="61"/>
      <c r="E123" s="61" t="s">
        <v>288</v>
      </c>
      <c r="F123" s="61"/>
      <c r="G123" s="61"/>
      <c r="H123" s="61" t="s">
        <v>218</v>
      </c>
      <c r="I123" s="74"/>
      <c r="J123" s="4">
        <v>58.53</v>
      </c>
      <c r="K123" s="4" t="s">
        <v>96</v>
      </c>
      <c r="L123" s="2">
        <v>5.76</v>
      </c>
      <c r="M123" s="2">
        <f>IF(ISNUMBER('Chemical Data'!M467),'Chemical Data'!M467,"")</f>
        <v>5.8</v>
      </c>
      <c r="N123" s="4">
        <v>704</v>
      </c>
      <c r="O123" s="4" t="str">
        <f>IF(ISNUMBER('Chemical Data'!O467),'Chemical Data'!O467,"")</f>
        <v/>
      </c>
      <c r="P123" s="4">
        <v>10.9</v>
      </c>
      <c r="Q123" s="4">
        <v>37</v>
      </c>
      <c r="R123" s="4">
        <f>IF(ISNUMBER('Chemical Data'!R467),'Chemical Data'!R467,"")</f>
        <v>41.2</v>
      </c>
      <c r="S123" s="4">
        <f>IF(ISNUMBER('Chemical Data'!S467),'Chemical Data'!S467,"")</f>
        <v>47.8</v>
      </c>
      <c r="T123" s="4">
        <f>IF(ISNUMBER('Chemical Data'!T467),'Chemical Data'!T467,"")</f>
        <v>43.253580041437473</v>
      </c>
      <c r="U123" s="4"/>
      <c r="V123" s="4"/>
      <c r="W123" s="4">
        <f>IF(ISNUMBER('Chemical Data'!W467),'Chemical Data'!W467,"")</f>
        <v>40.052999999999997</v>
      </c>
      <c r="X123" s="4">
        <f>IF(ISNUMBER('Chemical Data'!X467),'Chemical Data'!X467,"")</f>
        <v>41.930999999999997</v>
      </c>
      <c r="Y123" s="3">
        <f>IF(W123-X123&lt;0,0,W123-X123)</f>
        <v>0</v>
      </c>
      <c r="Z123" s="4">
        <f>IF(ISNUMBER('Chemical Data'!Z467),'Chemical Data'!Z467,"")</f>
        <v>0.5</v>
      </c>
      <c r="AA123" s="4">
        <f>IF(ISNUMBER('Chemical Data'!AA467),'Chemical Data'!AA467,"")</f>
        <v>2.839</v>
      </c>
      <c r="AB123" s="4">
        <f>IF(ISNUMBER('Chemical Data'!AB467),'Chemical Data'!AB467,"")</f>
        <v>316.7</v>
      </c>
      <c r="AC123" s="4" t="str">
        <f>IF(ISNUMBER('Chemical Data'!AC467),'Chemical Data'!AC467,"")</f>
        <v/>
      </c>
      <c r="AD123" s="4" t="str">
        <f>IF(ISNUMBER('Chemical Data'!AD467),'Chemical Data'!AD467,"")</f>
        <v/>
      </c>
      <c r="AE123" s="4" t="str">
        <f>IF(ISNUMBER('Chemical Data'!AE467),'Chemical Data'!AE467,"")</f>
        <v/>
      </c>
      <c r="AF123" s="4" t="str">
        <f>IF(ISNUMBER('Chemical Data'!AF467),'Chemical Data'!AF467,"")</f>
        <v/>
      </c>
      <c r="AG123" s="4" t="str">
        <f>IF(ISNUMBER('Chemical Data'!AG467),'Chemical Data'!AG467,"")</f>
        <v/>
      </c>
      <c r="AH123" s="4" t="str">
        <f>IF(ISNUMBER('Chemical Data'!AH467),'Chemical Data'!AH467,"")</f>
        <v/>
      </c>
      <c r="AI123" s="4" t="str">
        <f>IF(ISNUMBER('Chemical Data'!AI467),'Chemical Data'!AI467,"")</f>
        <v/>
      </c>
      <c r="AJ123" s="4" t="str">
        <f>IF(ISNUMBER('Chemical Data'!AJ467),'Chemical Data'!AJ467,"")</f>
        <v/>
      </c>
      <c r="AK123" s="4" t="str">
        <f>IF(ISNUMBER('Chemical Data'!AK467),'Chemical Data'!AK467,"")</f>
        <v/>
      </c>
      <c r="AL123" s="4">
        <f>IF(ISNUMBER('Chemical Data'!AL467),'Chemical Data'!AL467,"")</f>
        <v>540</v>
      </c>
      <c r="AM123" s="4" t="str">
        <f>IF(ISNUMBER('Chemical Data'!AM467),'Chemical Data'!AM467,"")</f>
        <v/>
      </c>
      <c r="AN123" s="4">
        <f>IF(ISNUMBER('Chemical Data'!AN467),'Chemical Data'!AN467,"")</f>
        <v>33.572808000000002</v>
      </c>
      <c r="AO123" s="4">
        <f>IF(ISNUMBER('Chemical Data'!AO467),'Chemical Data'!AO467,"")</f>
        <v>28.131625079999996</v>
      </c>
      <c r="AP123" s="4">
        <f>IF(ISNUMBER('Chemical Data'!AP467),'Chemical Data'!AP467,"")</f>
        <v>0.35117999999999999</v>
      </c>
      <c r="AQ123" s="4">
        <f>IF(ISNUMBER('Chemical Data'!AQ467),'Chemical Data'!AQ467,"")</f>
        <v>1.9940000400000002</v>
      </c>
      <c r="AR123" s="4">
        <f>IF(ISNUMBER('Chemical Data'!AR467),'Chemical Data'!AR467,"")</f>
        <v>222.43741200000002</v>
      </c>
      <c r="AS123" s="4">
        <f>IF(ISNUMBER('Chemical Data'!AS467),'Chemical Data'!AS467,"")</f>
        <v>28.937232000000005</v>
      </c>
    </row>
    <row r="124" spans="1:48" x14ac:dyDescent="0.3">
      <c r="A124" s="61">
        <v>45483</v>
      </c>
      <c r="B124" s="74">
        <v>2</v>
      </c>
      <c r="C124" s="61" t="s">
        <v>286</v>
      </c>
      <c r="D124" s="61"/>
      <c r="E124" s="61" t="s">
        <v>288</v>
      </c>
      <c r="F124" s="61"/>
      <c r="G124" s="61"/>
      <c r="H124" s="61" t="s">
        <v>218</v>
      </c>
      <c r="I124" s="74"/>
      <c r="J124" s="4">
        <f>IF(ISNUMBER('Chemical Data'!J468),'Chemical Data'!J468,"")</f>
        <v>54.11</v>
      </c>
      <c r="K124" s="4" t="s">
        <v>96</v>
      </c>
      <c r="L124" s="2">
        <f>IF(ISNUMBER('Chemical Data'!L468),'Chemical Data'!L468,"")</f>
        <v>5.91</v>
      </c>
      <c r="M124" s="2">
        <f>IF(ISNUMBER('Chemical Data'!M468),'Chemical Data'!M468,"")</f>
        <v>5.9</v>
      </c>
      <c r="N124" s="4">
        <f>IF(ISNUMBER('Chemical Data'!N468),'Chemical Data'!N468,"")</f>
        <v>713</v>
      </c>
      <c r="O124" s="4" t="str">
        <f>IF(ISNUMBER('Chemical Data'!O468),'Chemical Data'!O468,"")</f>
        <v/>
      </c>
      <c r="P124" s="4">
        <f>IF(ISNUMBER('Chemical Data'!P468),'Chemical Data'!P468,"")</f>
        <v>11</v>
      </c>
      <c r="Q124" s="4">
        <f>IF(ISNUMBER('Chemical Data'!Q468),'Chemical Data'!Q468,"")</f>
        <v>96</v>
      </c>
      <c r="R124" s="4">
        <f>IF(ISNUMBER('Chemical Data'!R468),'Chemical Data'!R468,"")</f>
        <v>22.4</v>
      </c>
      <c r="S124" s="4">
        <f>IF(ISNUMBER('Chemical Data'!S468),'Chemical Data'!S468,"")</f>
        <v>40.200000000000003</v>
      </c>
      <c r="T124" s="4">
        <f>IF(ISNUMBER('Chemical Data'!T468),'Chemical Data'!T468,"")</f>
        <v>55.156903438540617</v>
      </c>
      <c r="U124" s="4"/>
      <c r="V124" s="4"/>
      <c r="W124" s="4">
        <f>IF(ISNUMBER('Chemical Data'!W468),'Chemical Data'!W468,"")</f>
        <v>41.88</v>
      </c>
      <c r="X124" s="4">
        <f>IF(ISNUMBER('Chemical Data'!X468),'Chemical Data'!X468,"")</f>
        <v>40.320999999999998</v>
      </c>
      <c r="Y124" s="3">
        <f>IF(W124-X124&lt;0,0,W124-X124)</f>
        <v>1.5590000000000046</v>
      </c>
      <c r="Z124" s="4">
        <f>IF(ISNUMBER('Chemical Data'!Z468),'Chemical Data'!Z468,"")</f>
        <v>0.5</v>
      </c>
      <c r="AA124" s="4">
        <f>IF(ISNUMBER('Chemical Data'!AA468),'Chemical Data'!AA468,"")</f>
        <v>2.956</v>
      </c>
      <c r="AB124" s="4">
        <f>IF(ISNUMBER('Chemical Data'!AB468),'Chemical Data'!AB468,"")</f>
        <v>321.60000000000002</v>
      </c>
      <c r="AC124" s="4" t="str">
        <f>IF(ISNUMBER('Chemical Data'!AC468),'Chemical Data'!AC468,"")</f>
        <v/>
      </c>
      <c r="AD124" s="4" t="str">
        <f>IF(ISNUMBER('Chemical Data'!AD468),'Chemical Data'!AD468,"")</f>
        <v/>
      </c>
      <c r="AE124" s="4" t="str">
        <f>IF(ISNUMBER('Chemical Data'!AE468),'Chemical Data'!AE468,"")</f>
        <v/>
      </c>
      <c r="AF124" s="4" t="str">
        <f>IF(ISNUMBER('Chemical Data'!AF468),'Chemical Data'!AF468,"")</f>
        <v/>
      </c>
      <c r="AG124" s="4" t="str">
        <f>IF(ISNUMBER('Chemical Data'!AG468),'Chemical Data'!AG468,"")</f>
        <v/>
      </c>
      <c r="AH124" s="4" t="str">
        <f>IF(ISNUMBER('Chemical Data'!AH468),'Chemical Data'!AH468,"")</f>
        <v/>
      </c>
      <c r="AI124" s="4" t="str">
        <f>IF(ISNUMBER('Chemical Data'!AI468),'Chemical Data'!AI468,"")</f>
        <v/>
      </c>
      <c r="AJ124" s="4" t="str">
        <f>IF(ISNUMBER('Chemical Data'!AJ468),'Chemical Data'!AJ468,"")</f>
        <v/>
      </c>
      <c r="AK124" s="4" t="str">
        <f>IF(ISNUMBER('Chemical Data'!AK468),'Chemical Data'!AK468,"")</f>
        <v/>
      </c>
      <c r="AL124" s="4">
        <f>IF(ISNUMBER('Chemical Data'!AL468),'Chemical Data'!AL468,"")</f>
        <v>552</v>
      </c>
      <c r="AM124" s="4" t="str">
        <f>IF(ISNUMBER('Chemical Data'!AM468),'Chemical Data'!AM468,"")</f>
        <v/>
      </c>
      <c r="AN124" s="4">
        <f>IF(ISNUMBER('Chemical Data'!AN468),'Chemical Data'!AN468,"")</f>
        <v>26.102664000000004</v>
      </c>
      <c r="AO124" s="4">
        <f>IF(ISNUMBER('Chemical Data'!AO468),'Chemical Data'!AO468,"")</f>
        <v>27.1935216</v>
      </c>
      <c r="AP124" s="4">
        <f>IF(ISNUMBER('Chemical Data'!AP468),'Chemical Data'!AP468,"")</f>
        <v>0.32466</v>
      </c>
      <c r="AQ124" s="4">
        <f>IF(ISNUMBER('Chemical Data'!AQ468),'Chemical Data'!AQ468,"")</f>
        <v>1.9193899200000002</v>
      </c>
      <c r="AR124" s="4">
        <f>IF(ISNUMBER('Chemical Data'!AR468),'Chemical Data'!AR468,"")</f>
        <v>208.82131200000003</v>
      </c>
      <c r="AS124" s="4">
        <f>IF(ISNUMBER('Chemical Data'!AS468),'Chemical Data'!AS468,"")</f>
        <v>14.544767999999999</v>
      </c>
    </row>
    <row r="125" spans="1:48" x14ac:dyDescent="0.3">
      <c r="A125" s="61">
        <v>45527</v>
      </c>
      <c r="B125" s="74">
        <v>2</v>
      </c>
      <c r="C125" s="61" t="s">
        <v>286</v>
      </c>
      <c r="D125" s="61"/>
      <c r="E125" s="61" t="s">
        <v>288</v>
      </c>
      <c r="F125" s="61"/>
      <c r="G125" s="61"/>
      <c r="H125" s="61" t="s">
        <v>218</v>
      </c>
      <c r="I125" s="74"/>
      <c r="J125" s="4">
        <f>IF(ISNUMBER('Chemical Data'!J469),'Chemical Data'!J469,"")</f>
        <v>71.84</v>
      </c>
      <c r="K125" s="4" t="s">
        <v>96</v>
      </c>
      <c r="L125" s="2">
        <f>IF(ISNUMBER('Chemical Data'!L469),'Chemical Data'!L469,"")</f>
        <v>5.9</v>
      </c>
      <c r="M125" s="2">
        <f>IF(ISNUMBER('Chemical Data'!M469),'Chemical Data'!M469,"")</f>
        <v>5.8</v>
      </c>
      <c r="N125" s="4">
        <f>IF(ISNUMBER('Chemical Data'!N469),'Chemical Data'!N469,"")</f>
        <v>659</v>
      </c>
      <c r="O125" s="2" t="str">
        <f>IF(ISNUMBER('Chemical Data'!O469),'Chemical Data'!O469,"")</f>
        <v/>
      </c>
      <c r="P125" s="4" t="str">
        <f>IF(ISNUMBER('Chemical Data'!P469),'Chemical Data'!P469,"")</f>
        <v/>
      </c>
      <c r="Q125" s="4">
        <f>IF(ISNUMBER('Chemical Data'!Q469),'Chemical Data'!Q469,"")</f>
        <v>100</v>
      </c>
      <c r="R125" s="4">
        <f>IF(ISNUMBER('Chemical Data'!R469),'Chemical Data'!R469,"")</f>
        <v>24.2</v>
      </c>
      <c r="S125" s="4">
        <f>IF(ISNUMBER('Chemical Data'!S469),'Chemical Data'!S469,"")</f>
        <v>50.6</v>
      </c>
      <c r="T125" s="4">
        <f>IF(ISNUMBER('Chemical Data'!T469),'Chemical Data'!T469,"")</f>
        <v>59.567136270589685</v>
      </c>
      <c r="U125" s="4"/>
      <c r="V125" s="4"/>
      <c r="W125" s="4">
        <f>IF(ISNUMBER('Chemical Data'!W469),'Chemical Data'!W469,"")</f>
        <v>41.597999999999999</v>
      </c>
      <c r="X125" s="4">
        <f>IF(ISNUMBER('Chemical Data'!X469),'Chemical Data'!X469,"")</f>
        <v>43.680999999999997</v>
      </c>
      <c r="Y125" s="3">
        <f t="shared" ref="Y125:Y126" si="93">IF(W125-X125&lt;0,0,W125-X125)</f>
        <v>0</v>
      </c>
      <c r="Z125" s="4">
        <f>IF(ISNUMBER('Chemical Data'!Z469),'Chemical Data'!Z469,"")</f>
        <v>0.5</v>
      </c>
      <c r="AA125" s="4">
        <f>IF(ISNUMBER('Chemical Data'!AA469),'Chemical Data'!AA469,"")</f>
        <v>3.0640000000000001</v>
      </c>
      <c r="AB125" s="4">
        <f>IF(ISNUMBER('Chemical Data'!AB469),'Chemical Data'!AB469,"")</f>
        <v>335.6</v>
      </c>
      <c r="AC125" s="4" t="str">
        <f>IF(ISNUMBER('Chemical Data'!AC469),'Chemical Data'!AC469,"")</f>
        <v/>
      </c>
      <c r="AD125" s="4" t="str">
        <f>IF(ISNUMBER('Chemical Data'!AD469),'Chemical Data'!AD469,"")</f>
        <v/>
      </c>
      <c r="AE125" s="4" t="str">
        <f>IF(ISNUMBER('Chemical Data'!AE469),'Chemical Data'!AE469,"")</f>
        <v/>
      </c>
      <c r="AF125" s="4" t="str">
        <f>IF(ISNUMBER('Chemical Data'!AF469),'Chemical Data'!AF469,"")</f>
        <v/>
      </c>
      <c r="AG125" s="4" t="str">
        <f>IF(ISNUMBER('Chemical Data'!AG469),'Chemical Data'!AG469,"")</f>
        <v/>
      </c>
      <c r="AH125" s="4" t="str">
        <f>IF(ISNUMBER('Chemical Data'!AH469),'Chemical Data'!AH469,"")</f>
        <v/>
      </c>
      <c r="AI125" s="4" t="str">
        <f>IF(ISNUMBER('Chemical Data'!AI469),'Chemical Data'!AI469,"")</f>
        <v/>
      </c>
      <c r="AJ125" s="4" t="str">
        <f>IF(ISNUMBER('Chemical Data'!AJ469),'Chemical Data'!AJ469,"")</f>
        <v/>
      </c>
      <c r="AK125" s="4" t="str">
        <f>IF(ISNUMBER('Chemical Data'!AK469),'Chemical Data'!AK469,"")</f>
        <v/>
      </c>
      <c r="AL125" s="4">
        <f>IF(ISNUMBER('Chemical Data'!AL469),'Chemical Data'!AL469,"")</f>
        <v>572</v>
      </c>
      <c r="AM125" s="4" t="str">
        <f>IF(ISNUMBER('Chemical Data'!AM469),'Chemical Data'!AM469,"")</f>
        <v/>
      </c>
      <c r="AN125" s="4">
        <f>IF(ISNUMBER('Chemical Data'!AN469),'Chemical Data'!AN469,"")</f>
        <v>43.621248000000001</v>
      </c>
      <c r="AO125" s="4">
        <f>IF(ISNUMBER('Chemical Data'!AO469),'Chemical Data'!AO469,"")</f>
        <v>35.860803840000003</v>
      </c>
      <c r="AP125" s="4">
        <f>IF(ISNUMBER('Chemical Data'!AP469),'Chemical Data'!AP469,"")</f>
        <v>0.43104000000000003</v>
      </c>
      <c r="AQ125" s="4">
        <f>IF(ISNUMBER('Chemical Data'!AQ469),'Chemical Data'!AQ469,"")</f>
        <v>2.6414131200000002</v>
      </c>
      <c r="AR125" s="4">
        <f>IF(ISNUMBER('Chemical Data'!AR469),'Chemical Data'!AR469,"")</f>
        <v>289.31404800000007</v>
      </c>
      <c r="AS125" s="4">
        <f>IF(ISNUMBER('Chemical Data'!AS469),'Chemical Data'!AS469,"")</f>
        <v>20.862335999999999</v>
      </c>
      <c r="AT125" s="4" t="str">
        <f>IF(ISNUMBER('Chemical Data'!AT469),'Chemical Data'!AT469,"")</f>
        <v/>
      </c>
    </row>
    <row r="126" spans="1:48" x14ac:dyDescent="0.3">
      <c r="A126" s="61">
        <v>45547</v>
      </c>
      <c r="B126" s="74">
        <v>2</v>
      </c>
      <c r="C126" s="61" t="s">
        <v>286</v>
      </c>
      <c r="D126" s="61"/>
      <c r="E126" s="61" t="s">
        <v>288</v>
      </c>
      <c r="F126" s="61"/>
      <c r="G126" s="61"/>
      <c r="H126" s="61" t="s">
        <v>218</v>
      </c>
      <c r="I126" s="74"/>
      <c r="J126" s="4">
        <f>IF(ISNUMBER('Chemical Data'!J470),'Chemical Data'!J470,"")</f>
        <v>86.2089</v>
      </c>
      <c r="K126" s="4" t="s">
        <v>96</v>
      </c>
      <c r="L126" s="2">
        <f>IF(ISNUMBER('Chemical Data'!L470),'Chemical Data'!L470,"")</f>
        <v>6.14</v>
      </c>
      <c r="M126" s="2">
        <f>IF(ISNUMBER('Chemical Data'!M470),'Chemical Data'!M470,"")</f>
        <v>5.9</v>
      </c>
      <c r="N126" s="4">
        <f>IF(ISNUMBER('Chemical Data'!N470),'Chemical Data'!N470,"")</f>
        <v>679</v>
      </c>
      <c r="O126" s="4" t="str">
        <f>IF(ISNUMBER('Chemical Data'!O470),'Chemical Data'!O470,"")</f>
        <v/>
      </c>
      <c r="P126" s="4">
        <f>IF(ISNUMBER('Chemical Data'!P470),'Chemical Data'!P470,"")</f>
        <v>11.6</v>
      </c>
      <c r="Q126" s="4">
        <f>IF(ISNUMBER('Chemical Data'!Q470),'Chemical Data'!Q470,"")</f>
        <v>43</v>
      </c>
      <c r="R126" s="4">
        <f>IF(ISNUMBER('Chemical Data'!R470),'Chemical Data'!R470,"")</f>
        <v>46</v>
      </c>
      <c r="S126" s="4">
        <f>IF(ISNUMBER('Chemical Data'!S470),'Chemical Data'!S470,"")</f>
        <v>62.2</v>
      </c>
      <c r="T126" s="4">
        <f>IF(ISNUMBER('Chemical Data'!T470),'Chemical Data'!T470,"")</f>
        <v>36.891221798003755</v>
      </c>
      <c r="U126" s="4"/>
      <c r="V126" s="4"/>
      <c r="W126" s="4">
        <f>IF(ISNUMBER('Chemical Data'!W470),'Chemical Data'!W470,"")</f>
        <v>44.750999999999998</v>
      </c>
      <c r="X126" s="4">
        <f>IF(ISNUMBER('Chemical Data'!X470),'Chemical Data'!X470,"")</f>
        <v>43.1</v>
      </c>
      <c r="Y126" s="3">
        <f t="shared" si="93"/>
        <v>1.6509999999999962</v>
      </c>
      <c r="Z126" s="4">
        <f>IF(ISNUMBER('Chemical Data'!Z470),'Chemical Data'!Z470,"")</f>
        <v>0.5</v>
      </c>
      <c r="AA126" s="4">
        <f>IF(ISNUMBER('Chemical Data'!AA470),'Chemical Data'!AA470,"")</f>
        <v>3.17</v>
      </c>
      <c r="AB126" s="4">
        <f>IF(ISNUMBER('Chemical Data'!AB470),'Chemical Data'!AB470,"")</f>
        <v>358</v>
      </c>
      <c r="AC126" s="4" t="str">
        <f>IF(ISNUMBER('Chemical Data'!AC470),'Chemical Data'!AC470,"")</f>
        <v/>
      </c>
      <c r="AD126" s="4" t="str">
        <f>IF(ISNUMBER('Chemical Data'!AD470),'Chemical Data'!AD470,"")</f>
        <v/>
      </c>
      <c r="AE126" s="4" t="str">
        <f>IF(ISNUMBER('Chemical Data'!AE470),'Chemical Data'!AE470,"")</f>
        <v/>
      </c>
      <c r="AF126" s="4" t="str">
        <f>IF(ISNUMBER('Chemical Data'!AF470),'Chemical Data'!AF470,"")</f>
        <v/>
      </c>
      <c r="AG126" s="4" t="str">
        <f>IF(ISNUMBER('Chemical Data'!AG470),'Chemical Data'!AG470,"")</f>
        <v/>
      </c>
      <c r="AH126" s="4" t="str">
        <f>IF(ISNUMBER('Chemical Data'!AH470),'Chemical Data'!AH470,"")</f>
        <v/>
      </c>
      <c r="AI126" s="4" t="str">
        <f>IF(ISNUMBER('Chemical Data'!AI470),'Chemical Data'!AI470,"")</f>
        <v/>
      </c>
      <c r="AJ126" s="4" t="str">
        <f>IF(ISNUMBER('Chemical Data'!AJ470),'Chemical Data'!AJ470,"")</f>
        <v/>
      </c>
      <c r="AK126" s="4" t="str">
        <f>IF(ISNUMBER('Chemical Data'!AK470),'Chemical Data'!AK470,"")</f>
        <v/>
      </c>
      <c r="AL126" s="4">
        <f>IF(ISNUMBER('Chemical Data'!AL470),'Chemical Data'!AL470,"")</f>
        <v>588</v>
      </c>
      <c r="AM126" s="4" t="str">
        <f>IF(ISNUMBER('Chemical Data'!AM470),'Chemical Data'!AM470,"")</f>
        <v/>
      </c>
      <c r="AN126" s="4">
        <f>IF(ISNUMBER('Chemical Data'!AN470),'Chemical Data'!AN470,"")</f>
        <v>64.346322960000009</v>
      </c>
      <c r="AO126" s="4">
        <f>IF(ISNUMBER('Chemical Data'!AO470),'Chemical Data'!AO470,"")</f>
        <v>46.295213806799993</v>
      </c>
      <c r="AP126" s="4">
        <f>IF(ISNUMBER('Chemical Data'!AP470),'Chemical Data'!AP470,"")</f>
        <v>0.51725339999999997</v>
      </c>
      <c r="AQ126" s="4">
        <f>IF(ISNUMBER('Chemical Data'!AQ470),'Chemical Data'!AQ470,"")</f>
        <v>3.2793865560000004</v>
      </c>
      <c r="AR126" s="4">
        <f>IF(ISNUMBER('Chemical Data'!AR470),'Chemical Data'!AR470,"")</f>
        <v>370.35343439999997</v>
      </c>
      <c r="AS126" s="4">
        <f>IF(ISNUMBER('Chemical Data'!AS470),'Chemical Data'!AS470,"")</f>
        <v>47.587312800000007</v>
      </c>
    </row>
    <row r="127" spans="1:48" x14ac:dyDescent="0.3">
      <c r="A127" s="61">
        <v>45595</v>
      </c>
      <c r="B127" s="74">
        <v>4</v>
      </c>
      <c r="C127" s="61" t="s">
        <v>286</v>
      </c>
      <c r="D127" s="61"/>
      <c r="E127" s="61" t="s">
        <v>288</v>
      </c>
      <c r="F127" s="61"/>
      <c r="G127" s="61"/>
      <c r="H127" s="61" t="s">
        <v>218</v>
      </c>
      <c r="I127" s="74"/>
      <c r="J127" s="4">
        <f>IF(ISNUMBER('Chemical Data'!J471),'Chemical Data'!J471,"")</f>
        <v>51.81</v>
      </c>
      <c r="K127" s="4" t="s">
        <v>96</v>
      </c>
      <c r="L127" s="2">
        <f>IF(ISNUMBER('Chemical Data'!L471),'Chemical Data'!L471,"")</f>
        <v>5.72</v>
      </c>
      <c r="M127" s="2">
        <f>IF(ISNUMBER('Chemical Data'!M471),'Chemical Data'!M471,"")</f>
        <v>6.2</v>
      </c>
      <c r="N127" s="4">
        <f>IF(ISNUMBER('Chemical Data'!N471),'Chemical Data'!N471,"")</f>
        <v>686</v>
      </c>
      <c r="O127" s="4" t="str">
        <f>IF(ISNUMBER('Chemical Data'!O471),'Chemical Data'!O471,"")</f>
        <v/>
      </c>
      <c r="P127" s="4">
        <f>IF(ISNUMBER('Chemical Data'!P471),'Chemical Data'!P471,"")</f>
        <v>11.9</v>
      </c>
      <c r="Q127" s="4" t="str">
        <f>IF(ISNUMBER('Chemical Data'!Q471),'Chemical Data'!Q471,"")</f>
        <v/>
      </c>
      <c r="R127" s="4">
        <f>IF(ISNUMBER('Chemical Data'!R471),'Chemical Data'!R471,"")</f>
        <v>44</v>
      </c>
      <c r="S127" s="4">
        <f>IF(ISNUMBER('Chemical Data'!S471),'Chemical Data'!S471,"")</f>
        <v>62</v>
      </c>
      <c r="T127" s="4">
        <f>IF(ISNUMBER('Chemical Data'!T471),'Chemical Data'!T471,"")</f>
        <v>45.856533035898153</v>
      </c>
      <c r="U127" s="4"/>
      <c r="V127" s="4"/>
      <c r="W127" s="4">
        <f>IF(ISNUMBER('Chemical Data'!W471),'Chemical Data'!W471,"")</f>
        <v>43.591999999999999</v>
      </c>
      <c r="X127" s="4">
        <f>IF(ISNUMBER('Chemical Data'!X471),'Chemical Data'!X471,"")</f>
        <v>47.094000000000001</v>
      </c>
      <c r="Y127" s="3">
        <f t="shared" ref="Y127" si="94">IF(W127-X127&lt;0,0,W127-X127)</f>
        <v>0</v>
      </c>
      <c r="Z127" s="4">
        <f>IF(ISNUMBER('Chemical Data'!Z471),'Chemical Data'!Z471,"")</f>
        <v>0.5</v>
      </c>
      <c r="AA127" s="4">
        <f>IF(ISNUMBER('Chemical Data'!AA471),'Chemical Data'!AA471,"")</f>
        <v>3.0350000000000001</v>
      </c>
      <c r="AB127" s="4">
        <f>IF(ISNUMBER('Chemical Data'!AB471),'Chemical Data'!AB471,"")</f>
        <v>355.6</v>
      </c>
      <c r="AC127" s="4" t="str">
        <f>IF(ISNUMBER('Chemical Data'!AC471),'Chemical Data'!AC471,"")</f>
        <v/>
      </c>
      <c r="AD127" s="4" t="str">
        <f>IF(ISNUMBER('Chemical Data'!AD471),'Chemical Data'!AD471,"")</f>
        <v/>
      </c>
      <c r="AE127" s="4" t="str">
        <f>IF(ISNUMBER('Chemical Data'!AE471),'Chemical Data'!AE471,"")</f>
        <v/>
      </c>
      <c r="AF127" s="4" t="str">
        <f>IF(ISNUMBER('Chemical Data'!AF471),'Chemical Data'!AF471,"")</f>
        <v/>
      </c>
      <c r="AG127" s="4" t="str">
        <f>IF(ISNUMBER('Chemical Data'!AG471),'Chemical Data'!AG471,"")</f>
        <v/>
      </c>
      <c r="AH127" s="4" t="str">
        <f>IF(ISNUMBER('Chemical Data'!AH471),'Chemical Data'!AH471,"")</f>
        <v/>
      </c>
      <c r="AI127" s="4" t="str">
        <f>IF(ISNUMBER('Chemical Data'!AI471),'Chemical Data'!AI471,"")</f>
        <v/>
      </c>
      <c r="AJ127" s="4" t="str">
        <f>IF(ISNUMBER('Chemical Data'!AJ471),'Chemical Data'!AJ471,"")</f>
        <v/>
      </c>
      <c r="AK127" s="4" t="str">
        <f>IF(ISNUMBER('Chemical Data'!AK471),'Chemical Data'!AK471,"")</f>
        <v/>
      </c>
      <c r="AL127" s="4">
        <f>IF(ISNUMBER('Chemical Data'!AL471),'Chemical Data'!AL471,"")</f>
        <v>638</v>
      </c>
      <c r="AM127" s="4" t="str">
        <f>IF(ISNUMBER('Chemical Data'!AM471),'Chemical Data'!AM471,"")</f>
        <v/>
      </c>
      <c r="AN127" s="4">
        <f>IF(ISNUMBER('Chemical Data'!AN471),'Chemical Data'!AN471,"")</f>
        <v>38.546640000000004</v>
      </c>
      <c r="AO127" s="4">
        <f>IF(ISNUMBER('Chemical Data'!AO471),'Chemical Data'!AO471,"")</f>
        <v>27.102018240000003</v>
      </c>
      <c r="AP127" s="4">
        <f>IF(ISNUMBER('Chemical Data'!AP471),'Chemical Data'!AP471,"")</f>
        <v>0.31086000000000003</v>
      </c>
      <c r="AQ127" s="4">
        <f>IF(ISNUMBER('Chemical Data'!AQ471),'Chemical Data'!AQ471,"")</f>
        <v>1.8869202000000003</v>
      </c>
      <c r="AR127" s="4">
        <f>IF(ISNUMBER('Chemical Data'!AR471),'Chemical Data'!AR471,"")</f>
        <v>221.08363200000002</v>
      </c>
      <c r="AS127" s="4">
        <f>IF(ISNUMBER('Chemical Data'!AS471),'Chemical Data'!AS471,"")</f>
        <v>27.355680000000003</v>
      </c>
    </row>
    <row r="128" spans="1:48" x14ac:dyDescent="0.3">
      <c r="A128" s="61">
        <v>45617</v>
      </c>
      <c r="B128" s="74">
        <v>2</v>
      </c>
      <c r="C128" s="61" t="s">
        <v>286</v>
      </c>
      <c r="D128" s="61"/>
      <c r="E128" s="61" t="s">
        <v>288</v>
      </c>
      <c r="F128" s="61"/>
      <c r="G128" s="61"/>
      <c r="H128" s="61" t="s">
        <v>218</v>
      </c>
      <c r="I128" s="74"/>
      <c r="J128" s="4">
        <f>IF(ISNUMBER('Chemical Data'!J472),'Chemical Data'!J472,"")</f>
        <v>46</v>
      </c>
      <c r="K128" s="4" t="s">
        <v>96</v>
      </c>
      <c r="L128" s="2">
        <f>IF(ISNUMBER('Chemical Data'!L472),'Chemical Data'!L472,"")</f>
        <v>6.19</v>
      </c>
      <c r="M128" s="2">
        <f>IF(ISNUMBER('Chemical Data'!M472),'Chemical Data'!M472,"")</f>
        <v>5.9</v>
      </c>
      <c r="N128" s="4">
        <f>IF(ISNUMBER('Chemical Data'!N472),'Chemical Data'!N472,"")</f>
        <v>706</v>
      </c>
      <c r="O128" s="4" t="str">
        <f>IF(ISNUMBER('Chemical Data'!O472),'Chemical Data'!O472,"")</f>
        <v/>
      </c>
      <c r="P128" s="4">
        <f>IF(ISNUMBER('Chemical Data'!P472),'Chemical Data'!P472,"")</f>
        <v>10.9</v>
      </c>
      <c r="Q128" s="4">
        <f>IF(ISNUMBER('Chemical Data'!Q472),'Chemical Data'!Q472,"")</f>
        <v>46</v>
      </c>
      <c r="R128" s="4">
        <f>IF(ISNUMBER('Chemical Data'!R472),'Chemical Data'!R472,"")</f>
        <v>43.4</v>
      </c>
      <c r="S128" s="4">
        <f>IF(ISNUMBER('Chemical Data'!S472),'Chemical Data'!S472,"")</f>
        <v>66</v>
      </c>
      <c r="T128" s="4">
        <f>IF(ISNUMBER('Chemical Data'!T472),'Chemical Data'!T472,"")</f>
        <v>43.912152711451732</v>
      </c>
      <c r="U128" s="4"/>
      <c r="V128" s="4"/>
      <c r="W128" s="4">
        <f>IF(ISNUMBER('Chemical Data'!W472),'Chemical Data'!W472,"")</f>
        <v>48.156999999999996</v>
      </c>
      <c r="X128" s="4">
        <f>IF(ISNUMBER('Chemical Data'!X472),'Chemical Data'!X472,"")</f>
        <v>45.393000000000001</v>
      </c>
      <c r="Y128" s="3">
        <f t="shared" ref="Y128" si="95">IF(W128-X128&lt;0,0,W128-X128)</f>
        <v>2.7639999999999958</v>
      </c>
      <c r="Z128" s="4">
        <f>IF(ISNUMBER('Chemical Data'!Z472),'Chemical Data'!Z472,"")</f>
        <v>0.5</v>
      </c>
      <c r="AA128" s="4">
        <f>IF(ISNUMBER('Chemical Data'!AA472),'Chemical Data'!AA472,"")</f>
        <v>3.3479999999999999</v>
      </c>
      <c r="AB128" s="4">
        <f>IF(ISNUMBER('Chemical Data'!AB472),'Chemical Data'!AB472,"")</f>
        <v>372.4</v>
      </c>
      <c r="AC128" s="4" t="str">
        <f>IF(ISNUMBER('Chemical Data'!AC472),'Chemical Data'!AC472,"")</f>
        <v/>
      </c>
      <c r="AD128" s="4" t="str">
        <f>IF(ISNUMBER('Chemical Data'!AD472),'Chemical Data'!AD472,"")</f>
        <v/>
      </c>
      <c r="AE128" s="4" t="str">
        <f>IF(ISNUMBER('Chemical Data'!AE472),'Chemical Data'!AE472,"")</f>
        <v/>
      </c>
      <c r="AF128" s="4" t="str">
        <f>IF(ISNUMBER('Chemical Data'!AF472),'Chemical Data'!AF472,"")</f>
        <v/>
      </c>
      <c r="AG128" s="4" t="str">
        <f>IF(ISNUMBER('Chemical Data'!AG472),'Chemical Data'!AG472,"")</f>
        <v/>
      </c>
      <c r="AH128" s="4" t="str">
        <f>IF(ISNUMBER('Chemical Data'!AH472),'Chemical Data'!AH472,"")</f>
        <v/>
      </c>
      <c r="AI128" s="4" t="str">
        <f>IF(ISNUMBER('Chemical Data'!AI472),'Chemical Data'!AI472,"")</f>
        <v/>
      </c>
      <c r="AJ128" s="4" t="str">
        <f>IF(ISNUMBER('Chemical Data'!AJ472),'Chemical Data'!AJ472,"")</f>
        <v/>
      </c>
      <c r="AK128" s="4" t="str">
        <f>IF(ISNUMBER('Chemical Data'!AK472),'Chemical Data'!AK472,"")</f>
        <v/>
      </c>
      <c r="AL128" s="4">
        <f>IF(ISNUMBER('Chemical Data'!AL472),'Chemical Data'!AL472,"")</f>
        <v>552</v>
      </c>
      <c r="AM128" s="4" t="str">
        <f>IF(ISNUMBER('Chemical Data'!AM472),'Chemical Data'!AM472,"")</f>
        <v/>
      </c>
      <c r="AN128" s="4">
        <f>IF(ISNUMBER('Chemical Data'!AN472),'Chemical Data'!AN472,"")</f>
        <v>36.432000000000002</v>
      </c>
      <c r="AO128" s="4">
        <f>IF(ISNUMBER('Chemical Data'!AO472),'Chemical Data'!AO472,"")</f>
        <v>26.582663999999998</v>
      </c>
      <c r="AP128" s="4">
        <f>IF(ISNUMBER('Chemical Data'!AP472),'Chemical Data'!AP472,"")</f>
        <v>0.27600000000000002</v>
      </c>
      <c r="AQ128" s="4">
        <f>IF(ISNUMBER('Chemical Data'!AQ472),'Chemical Data'!AQ472,"")</f>
        <v>1.8480959999999997</v>
      </c>
      <c r="AR128" s="4">
        <f>IF(ISNUMBER('Chemical Data'!AR472),'Chemical Data'!AR472,"")</f>
        <v>205.56479999999999</v>
      </c>
      <c r="AS128" s="4">
        <f>IF(ISNUMBER('Chemical Data'!AS472),'Chemical Data'!AS472,"")</f>
        <v>23.956800000000001</v>
      </c>
    </row>
    <row r="129" spans="1:48" x14ac:dyDescent="0.3">
      <c r="A129" s="61">
        <v>45644</v>
      </c>
      <c r="B129" s="74">
        <v>2</v>
      </c>
      <c r="C129" s="61" t="s">
        <v>286</v>
      </c>
      <c r="D129" s="61"/>
      <c r="E129" s="61" t="s">
        <v>288</v>
      </c>
      <c r="F129" s="61"/>
      <c r="G129" s="61"/>
      <c r="H129" s="61" t="s">
        <v>218</v>
      </c>
      <c r="I129" s="74"/>
      <c r="J129" s="4">
        <f>IF(ISNUMBER('Chemical Data'!J473),'Chemical Data'!J473,"")</f>
        <v>60</v>
      </c>
      <c r="K129" s="4" t="s">
        <v>96</v>
      </c>
      <c r="L129" s="2">
        <f>IF(ISNUMBER('Chemical Data'!L473),'Chemical Data'!L473,"")</f>
        <v>6.14</v>
      </c>
      <c r="M129" s="2">
        <f>IF(ISNUMBER('Chemical Data'!M473),'Chemical Data'!M473,"")</f>
        <v>5.9</v>
      </c>
      <c r="N129" s="4">
        <f>IF(ISNUMBER('Chemical Data'!N473),'Chemical Data'!N473,"")</f>
        <v>690</v>
      </c>
      <c r="O129" s="4" t="str">
        <f>IF(ISNUMBER('Chemical Data'!O473),'Chemical Data'!O473,"")</f>
        <v/>
      </c>
      <c r="P129" s="4" t="str">
        <f>IF(ISNUMBER('Chemical Data'!P473),'Chemical Data'!P473,"")</f>
        <v/>
      </c>
      <c r="Q129" s="4" t="str">
        <f>IF(ISNUMBER('Chemical Data'!Q473),'Chemical Data'!Q473,"")</f>
        <v/>
      </c>
      <c r="R129" s="4">
        <f>IF(ISNUMBER('Chemical Data'!R473),'Chemical Data'!R473,"")</f>
        <v>32.4</v>
      </c>
      <c r="S129" s="4">
        <f>IF(ISNUMBER('Chemical Data'!S473),'Chemical Data'!S473,"")</f>
        <v>52.6</v>
      </c>
      <c r="T129" s="4">
        <f>IF(ISNUMBER('Chemical Data'!T473),'Chemical Data'!T473,"")</f>
        <v>53.636416270589699</v>
      </c>
      <c r="U129" s="4"/>
      <c r="V129" s="4"/>
      <c r="W129" s="4">
        <f>IF(ISNUMBER('Chemical Data'!W473),'Chemical Data'!W473,"")</f>
        <v>43.521000000000001</v>
      </c>
      <c r="X129" s="4">
        <f>IF(ISNUMBER('Chemical Data'!X473),'Chemical Data'!X473,"")</f>
        <v>44.993000000000002</v>
      </c>
      <c r="Y129" s="3">
        <f t="shared" ref="Y129" si="96">IF(W129-X129&lt;0,0,W129-X129)</f>
        <v>0</v>
      </c>
      <c r="Z129" s="4">
        <f>IF(ISNUMBER('Chemical Data'!Z473),'Chemical Data'!Z473,"")</f>
        <v>0.5</v>
      </c>
      <c r="AA129" s="4">
        <f>IF(ISNUMBER('Chemical Data'!AA473),'Chemical Data'!AA473,"")</f>
        <v>3.02</v>
      </c>
      <c r="AB129" s="4">
        <f>IF(ISNUMBER('Chemical Data'!AB473),'Chemical Data'!AB473,"")</f>
        <v>1006.2</v>
      </c>
      <c r="AC129" s="4" t="str">
        <f>IF(ISNUMBER('Chemical Data'!AC473),'Chemical Data'!AC473,"")</f>
        <v/>
      </c>
      <c r="AD129" s="4" t="str">
        <f>IF(ISNUMBER('Chemical Data'!AD473),'Chemical Data'!AD473,"")</f>
        <v/>
      </c>
      <c r="AE129" s="4" t="str">
        <f>IF(ISNUMBER('Chemical Data'!AE473),'Chemical Data'!AE473,"")</f>
        <v/>
      </c>
      <c r="AF129" s="4" t="str">
        <f>IF(ISNUMBER('Chemical Data'!AF473),'Chemical Data'!AF473,"")</f>
        <v/>
      </c>
      <c r="AG129" s="4" t="str">
        <f>IF(ISNUMBER('Chemical Data'!AG473),'Chemical Data'!AG473,"")</f>
        <v/>
      </c>
      <c r="AH129" s="4" t="str">
        <f>IF(ISNUMBER('Chemical Data'!AH473),'Chemical Data'!AH473,"")</f>
        <v/>
      </c>
      <c r="AI129" s="4" t="str">
        <f>IF(ISNUMBER('Chemical Data'!AI473),'Chemical Data'!AI473,"")</f>
        <v/>
      </c>
      <c r="AJ129" s="4" t="str">
        <f>IF(ISNUMBER('Chemical Data'!AJ473),'Chemical Data'!AJ473,"")</f>
        <v/>
      </c>
      <c r="AK129" s="4" t="str">
        <f>IF(ISNUMBER('Chemical Data'!AK473),'Chemical Data'!AK473,"")</f>
        <v/>
      </c>
      <c r="AL129" s="4">
        <f>IF(ISNUMBER('Chemical Data'!AL473),'Chemical Data'!AL473,"")</f>
        <v>584</v>
      </c>
      <c r="AM129" s="4" t="str">
        <f>IF(ISNUMBER('Chemical Data'!AM473),'Chemical Data'!AM473,"")</f>
        <v/>
      </c>
      <c r="AN129" s="4">
        <f>IF(ISNUMBER('Chemical Data'!AN473),'Chemical Data'!AN473,"")</f>
        <v>37.872</v>
      </c>
      <c r="AO129" s="4">
        <f>IF(ISNUMBER('Chemical Data'!AO473),'Chemical Data'!AO473,"")</f>
        <v>31.335120000000003</v>
      </c>
      <c r="AP129" s="4">
        <f>IF(ISNUMBER('Chemical Data'!AP473),'Chemical Data'!AP473,"")</f>
        <v>0.36</v>
      </c>
      <c r="AQ129" s="4">
        <f>IF(ISNUMBER('Chemical Data'!AQ473),'Chemical Data'!AQ473,"")</f>
        <v>2.1743999999999999</v>
      </c>
      <c r="AR129" s="4">
        <f>IF(ISNUMBER('Chemical Data'!AR473),'Chemical Data'!AR473,"")</f>
        <v>724.46400000000006</v>
      </c>
      <c r="AS129" s="4">
        <f>IF(ISNUMBER('Chemical Data'!AS473),'Chemical Data'!AS473,"")</f>
        <v>23.327999999999999</v>
      </c>
    </row>
    <row r="130" spans="1:48" x14ac:dyDescent="0.3">
      <c r="A130" s="61">
        <v>45687</v>
      </c>
      <c r="B130" s="74">
        <v>2</v>
      </c>
      <c r="C130" s="61" t="s">
        <v>286</v>
      </c>
      <c r="D130" s="61"/>
      <c r="E130" s="61" t="s">
        <v>288</v>
      </c>
      <c r="F130" s="61"/>
      <c r="G130" s="61"/>
      <c r="H130" s="61" t="s">
        <v>218</v>
      </c>
      <c r="I130" s="74"/>
      <c r="J130" s="4">
        <f>IF(ISNUMBER('Chemical Data'!J474),'Chemical Data'!J474,"")</f>
        <v>71.2</v>
      </c>
      <c r="K130" s="4" t="s">
        <v>96</v>
      </c>
      <c r="L130" s="2">
        <f>IF(ISNUMBER('Chemical Data'!L474),'Chemical Data'!L474,"")</f>
        <v>6.19</v>
      </c>
      <c r="M130" s="2">
        <f>IF(ISNUMBER('Chemical Data'!M474),'Chemical Data'!M474,"")</f>
        <v>5.5</v>
      </c>
      <c r="N130" s="4">
        <f>IF(ISNUMBER('Chemical Data'!N474),'Chemical Data'!N474,"")</f>
        <v>541</v>
      </c>
      <c r="O130" s="4" t="str">
        <f>IF(ISNUMBER('Chemical Data'!O474),'Chemical Data'!O474,"")</f>
        <v/>
      </c>
      <c r="P130" s="4">
        <f>IF(ISNUMBER('Chemical Data'!P474),'Chemical Data'!P474,"")</f>
        <v>10.199999999999999</v>
      </c>
      <c r="Q130" s="4">
        <f>IF(ISNUMBER('Chemical Data'!Q474),'Chemical Data'!Q474,"")</f>
        <v>43</v>
      </c>
      <c r="R130" s="4">
        <f>IF(ISNUMBER('Chemical Data'!R474),'Chemical Data'!R474,"")</f>
        <v>18</v>
      </c>
      <c r="S130" s="4">
        <f>IF(ISNUMBER('Chemical Data'!S474),'Chemical Data'!S474,"")</f>
        <v>61.6</v>
      </c>
      <c r="T130" s="4">
        <f>IF(ISNUMBER('Chemical Data'!T474),'Chemical Data'!T474,"")</f>
        <v>69.900793883008433</v>
      </c>
      <c r="U130" s="4"/>
      <c r="V130" s="4"/>
      <c r="W130" s="4">
        <f>IF(ISNUMBER('Chemical Data'!W474),'Chemical Data'!W474,"")</f>
        <v>46.966999999999999</v>
      </c>
      <c r="X130" s="4">
        <f>IF(ISNUMBER('Chemical Data'!X474),'Chemical Data'!X474,"")</f>
        <v>45.731999999999999</v>
      </c>
      <c r="Y130" s="3">
        <f t="shared" ref="Y130" si="97">IF(W130-X130&lt;0,0,W130-X130)</f>
        <v>1.2349999999999994</v>
      </c>
      <c r="Z130" s="4">
        <f>IF(ISNUMBER('Chemical Data'!Z474),'Chemical Data'!Z474,"")</f>
        <v>0.5</v>
      </c>
      <c r="AA130" s="4">
        <f>IF(ISNUMBER('Chemical Data'!AA474),'Chemical Data'!AA474,"")</f>
        <v>3.2679999999999998</v>
      </c>
      <c r="AB130" s="4">
        <f>IF(ISNUMBER('Chemical Data'!AB474),'Chemical Data'!AB474,"")</f>
        <v>334.8</v>
      </c>
      <c r="AC130" s="4" t="str">
        <f>IF(ISNUMBER('Chemical Data'!AC474),'Chemical Data'!AC474,"")</f>
        <v/>
      </c>
      <c r="AD130" s="4" t="str">
        <f>IF(ISNUMBER('Chemical Data'!AD474),'Chemical Data'!AD474,"")</f>
        <v/>
      </c>
      <c r="AE130" s="4" t="str">
        <f>IF(ISNUMBER('Chemical Data'!AE474),'Chemical Data'!AE474,"")</f>
        <v/>
      </c>
      <c r="AF130" s="4" t="str">
        <f>IF(ISNUMBER('Chemical Data'!AF474),'Chemical Data'!AF474,"")</f>
        <v/>
      </c>
      <c r="AG130" s="4" t="str">
        <f>IF(ISNUMBER('Chemical Data'!AG474),'Chemical Data'!AG474,"")</f>
        <v/>
      </c>
      <c r="AH130" s="4" t="str">
        <f>IF(ISNUMBER('Chemical Data'!AH474),'Chemical Data'!AH474,"")</f>
        <v/>
      </c>
      <c r="AI130" s="4" t="str">
        <f>IF(ISNUMBER('Chemical Data'!AI474),'Chemical Data'!AI474,"")</f>
        <v/>
      </c>
      <c r="AJ130" s="4" t="str">
        <f>IF(ISNUMBER('Chemical Data'!AJ474),'Chemical Data'!AJ474,"")</f>
        <v/>
      </c>
      <c r="AK130" s="4" t="str">
        <f>IF(ISNUMBER('Chemical Data'!AK474),'Chemical Data'!AK474,"")</f>
        <v/>
      </c>
      <c r="AL130" s="4">
        <f>IF(ISNUMBER('Chemical Data'!AL474),'Chemical Data'!AL474,"")</f>
        <v>530</v>
      </c>
      <c r="AM130" s="4" t="str">
        <f>IF(ISNUMBER('Chemical Data'!AM474),'Chemical Data'!AM474,"")</f>
        <v/>
      </c>
      <c r="AN130" s="4">
        <f>IF(ISNUMBER('Chemical Data'!AN474),'Chemical Data'!AN474,"")</f>
        <v>52.631039999999999</v>
      </c>
      <c r="AO130" s="4">
        <f>IF(ISNUMBER('Chemical Data'!AO474),'Chemical Data'!AO474,"")</f>
        <v>40.128604800000005</v>
      </c>
      <c r="AP130" s="4">
        <f>IF(ISNUMBER('Chemical Data'!AP474),'Chemical Data'!AP474,"")</f>
        <v>0.42720000000000002</v>
      </c>
      <c r="AQ130" s="4">
        <f>IF(ISNUMBER('Chemical Data'!AQ474),'Chemical Data'!AQ474,"")</f>
        <v>2.7921792000000001</v>
      </c>
      <c r="AR130" s="4">
        <f>IF(ISNUMBER('Chemical Data'!AR474),'Chemical Data'!AR474,"")</f>
        <v>286.05312000000004</v>
      </c>
      <c r="AS130" s="4">
        <f>IF(ISNUMBER('Chemical Data'!AS474),'Chemical Data'!AS474,"")</f>
        <v>15.379200000000001</v>
      </c>
    </row>
    <row r="131" spans="1:48" s="7" customFormat="1" x14ac:dyDescent="0.3">
      <c r="A131" s="45" t="s">
        <v>144</v>
      </c>
      <c r="J131" s="20">
        <f>AVERAGE(J118:J130)</f>
        <v>64.851150461538481</v>
      </c>
      <c r="K131" s="20"/>
      <c r="L131" s="15">
        <f t="shared" ref="L131:T131" si="98">AVERAGE(L118:L130)</f>
        <v>5.985384615384616</v>
      </c>
      <c r="M131" s="15">
        <f t="shared" si="98"/>
        <v>5.9</v>
      </c>
      <c r="N131" s="20">
        <f t="shared" si="98"/>
        <v>672.23076923076928</v>
      </c>
      <c r="O131" s="20">
        <f t="shared" si="98"/>
        <v>700.5</v>
      </c>
      <c r="P131" s="20">
        <f t="shared" si="98"/>
        <v>10.870000000000001</v>
      </c>
      <c r="Q131" s="20">
        <f t="shared" si="98"/>
        <v>57</v>
      </c>
      <c r="R131" s="20">
        <f t="shared" si="98"/>
        <v>37.046153846153842</v>
      </c>
      <c r="S131" s="20">
        <f t="shared" si="98"/>
        <v>54.938461538461539</v>
      </c>
      <c r="T131" s="20">
        <f t="shared" si="98"/>
        <v>44.855338258798582</v>
      </c>
      <c r="U131" s="20"/>
      <c r="V131" s="20"/>
      <c r="W131" s="20">
        <f t="shared" ref="W131:AL131" si="99">AVERAGE(W118:W130)</f>
        <v>43.384384615384612</v>
      </c>
      <c r="X131" s="20">
        <f t="shared" si="99"/>
        <v>42.207000000000001</v>
      </c>
      <c r="Y131" s="20">
        <f t="shared" si="99"/>
        <v>1.8646923076923072</v>
      </c>
      <c r="Z131" s="30">
        <f t="shared" si="99"/>
        <v>0.46923076923076923</v>
      </c>
      <c r="AA131" s="20">
        <f t="shared" si="99"/>
        <v>3.1149230769230773</v>
      </c>
      <c r="AB131" s="20">
        <f t="shared" si="99"/>
        <v>390.15833333333336</v>
      </c>
      <c r="AC131" s="20">
        <f t="shared" si="99"/>
        <v>75.099999999999994</v>
      </c>
      <c r="AD131" s="20">
        <f t="shared" si="99"/>
        <v>30.15</v>
      </c>
      <c r="AE131" s="20">
        <f t="shared" si="99"/>
        <v>2.9</v>
      </c>
      <c r="AF131" s="20">
        <f t="shared" si="99"/>
        <v>2.2200000000000002</v>
      </c>
      <c r="AG131" s="20">
        <f t="shared" si="99"/>
        <v>4</v>
      </c>
      <c r="AH131" s="20">
        <f t="shared" si="99"/>
        <v>0.05</v>
      </c>
      <c r="AI131" s="20">
        <f t="shared" si="99"/>
        <v>0.03</v>
      </c>
      <c r="AJ131" s="20">
        <f t="shared" si="99"/>
        <v>0.2</v>
      </c>
      <c r="AK131" s="20" t="e">
        <f t="shared" si="99"/>
        <v>#DIV/0!</v>
      </c>
      <c r="AL131" s="20">
        <f t="shared" si="99"/>
        <v>561.4</v>
      </c>
      <c r="AM131" s="20"/>
      <c r="AN131" s="20">
        <f t="shared" ref="AN131:AS131" si="100">AVERAGE(AN118:AN130)</f>
        <v>42.76288975532308</v>
      </c>
      <c r="AO131" s="20">
        <f t="shared" si="100"/>
        <v>33.700115130066465</v>
      </c>
      <c r="AP131" s="20">
        <f t="shared" si="100"/>
        <v>0.36743305661538461</v>
      </c>
      <c r="AQ131" s="20">
        <f t="shared" si="100"/>
        <v>2.4288419620799995</v>
      </c>
      <c r="AR131" s="20">
        <f t="shared" si="100"/>
        <v>282.01139765169233</v>
      </c>
      <c r="AS131" s="20">
        <f t="shared" si="100"/>
        <v>28.419187923692309</v>
      </c>
      <c r="AT131" s="20"/>
      <c r="AU131" s="20"/>
      <c r="AV131" s="20"/>
    </row>
    <row r="132" spans="1:48" ht="14.25" customHeight="1" x14ac:dyDescent="0.3">
      <c r="A132" s="61"/>
      <c r="B132" s="61"/>
      <c r="C132" s="61"/>
      <c r="D132" s="61"/>
      <c r="E132" s="61"/>
      <c r="F132" s="61"/>
      <c r="G132" s="61"/>
      <c r="H132" s="61"/>
      <c r="I132" s="74"/>
      <c r="J132" s="4" t="str">
        <f>IF(ISNUMBER('Chemical Data'!J475),'Chemical Data'!J475,"")</f>
        <v/>
      </c>
      <c r="K132" s="4"/>
      <c r="L132" s="2" t="str">
        <f>IF(ISNUMBER('Chemical Data'!L475),'Chemical Data'!L475,"")</f>
        <v/>
      </c>
      <c r="M132" s="2">
        <f>IF(ISNUMBER('Chemical Data'!M468),'Chemical Data'!M468,"")</f>
        <v>5.9</v>
      </c>
      <c r="N132" s="4" t="str">
        <f>IF(ISNUMBER('Chemical Data'!N475),'Chemical Data'!N475,"")</f>
        <v/>
      </c>
      <c r="O132" s="4" t="str">
        <f>IF(ISNUMBER('Chemical Data'!O475),'Chemical Data'!O475,"")</f>
        <v/>
      </c>
      <c r="P132" s="4" t="str">
        <f>IF(ISNUMBER('Chemical Data'!P475),'Chemical Data'!P475,"")</f>
        <v/>
      </c>
      <c r="Q132" s="4" t="str">
        <f>IF(ISNUMBER('Chemical Data'!Q475),'Chemical Data'!Q475,"")</f>
        <v/>
      </c>
      <c r="R132" s="4">
        <f>IF(ISNUMBER('Chemical Data'!R468),'Chemical Data'!R468,"")</f>
        <v>22.4</v>
      </c>
      <c r="S132" s="4">
        <f>IF(ISNUMBER('Chemical Data'!S468),'Chemical Data'!S468,"")</f>
        <v>40.200000000000003</v>
      </c>
      <c r="T132" s="4" t="str">
        <f>IF(ISNUMBER('Chemical Data'!T475),'Chemical Data'!T475,"")</f>
        <v/>
      </c>
      <c r="U132" s="4"/>
      <c r="V132" s="4"/>
      <c r="W132" s="4">
        <f>IF(ISNUMBER('Chemical Data'!W468),'Chemical Data'!W468,"")</f>
        <v>41.88</v>
      </c>
      <c r="X132" s="4">
        <f>IF(ISNUMBER('Chemical Data'!X468),'Chemical Data'!X468,"")</f>
        <v>40.320999999999998</v>
      </c>
      <c r="Y132" s="4"/>
      <c r="Z132" s="4">
        <f>IF(ISNUMBER('Chemical Data'!Z468),'Chemical Data'!Z468,"")</f>
        <v>0.5</v>
      </c>
      <c r="AA132" s="4">
        <f>IF(ISNUMBER('Chemical Data'!AA468),'Chemical Data'!AA468,"")</f>
        <v>2.956</v>
      </c>
      <c r="AB132" s="4">
        <f>IF(ISNUMBER('Chemical Data'!AB468),'Chemical Data'!AB468,"")</f>
        <v>321.60000000000002</v>
      </c>
      <c r="AC132" s="4" t="str">
        <f>IF(ISNUMBER('Chemical Data'!AC475),'Chemical Data'!AC475,"")</f>
        <v/>
      </c>
      <c r="AD132" s="4" t="str">
        <f>IF(ISNUMBER('Chemical Data'!AD475),'Chemical Data'!AD475,"")</f>
        <v/>
      </c>
      <c r="AE132" s="4" t="str">
        <f>IF(ISNUMBER('Chemical Data'!AE475),'Chemical Data'!AE475,"")</f>
        <v/>
      </c>
      <c r="AF132" s="4" t="str">
        <f>IF(ISNUMBER('Chemical Data'!AF475),'Chemical Data'!AF475,"")</f>
        <v/>
      </c>
      <c r="AG132" s="4" t="str">
        <f>IF(ISNUMBER('Chemical Data'!AG475),'Chemical Data'!AG475,"")</f>
        <v/>
      </c>
      <c r="AH132" s="4" t="str">
        <f>IF(ISNUMBER('Chemical Data'!AH475),'Chemical Data'!AH475,"")</f>
        <v/>
      </c>
      <c r="AI132" s="4" t="str">
        <f>IF(ISNUMBER('Chemical Data'!AI475),'Chemical Data'!AI475,"")</f>
        <v/>
      </c>
      <c r="AJ132" s="4" t="str">
        <f>IF(ISNUMBER('Chemical Data'!AJ475),'Chemical Data'!AJ475,"")</f>
        <v/>
      </c>
      <c r="AK132" s="4"/>
      <c r="AL132" s="4"/>
      <c r="AM132" s="4" t="str">
        <f>IF(ISNUMBER('Chemical Data'!AM475),'Chemical Data'!AM475,"")</f>
        <v/>
      </c>
      <c r="AN132" s="4" t="str">
        <f>IF(ISNUMBER('Chemical Data'!AN475),'Chemical Data'!AN475,"")</f>
        <v/>
      </c>
      <c r="AO132" s="4" t="str">
        <f>IF(ISNUMBER('Chemical Data'!AO475),'Chemical Data'!AO475,"")</f>
        <v/>
      </c>
      <c r="AP132" s="4" t="str">
        <f>IF(ISNUMBER('Chemical Data'!AP475),'Chemical Data'!AP475,"")</f>
        <v/>
      </c>
      <c r="AQ132" s="4" t="str">
        <f>IF(ISNUMBER('Chemical Data'!AQ475),'Chemical Data'!AQ475,"")</f>
        <v/>
      </c>
      <c r="AR132" s="4" t="str">
        <f>IF(ISNUMBER('Chemical Data'!AR475),'Chemical Data'!AR475,"")</f>
        <v/>
      </c>
      <c r="AS132" s="1"/>
    </row>
    <row r="133" spans="1:48" ht="14.25" customHeight="1" x14ac:dyDescent="0.3">
      <c r="A133" s="61">
        <f>'Chemical Data'!A476</f>
        <v>45098</v>
      </c>
      <c r="B133" s="61" t="str">
        <f>'Chemical Data'!B476</f>
        <v>028</v>
      </c>
      <c r="C133" s="61" t="str">
        <f>'Chemical Data'!C476</f>
        <v>PD3</v>
      </c>
      <c r="D133" s="61"/>
      <c r="E133" s="61" t="str">
        <f>'Chemical Data'!E476</f>
        <v>Penn Run AMD -3 North side</v>
      </c>
      <c r="F133" s="61"/>
      <c r="G133" s="61"/>
      <c r="H133" s="61" t="str">
        <f>'Chemical Data'!H476</f>
        <v>Hedin</v>
      </c>
      <c r="I133" s="74"/>
      <c r="J133" s="4">
        <f>IF(ISNUMBER('Chemical Data'!J476),'Chemical Data'!J476,"")</f>
        <v>23.1</v>
      </c>
      <c r="K133" s="4" t="s">
        <v>96</v>
      </c>
      <c r="L133" s="2">
        <f>IF(ISNUMBER('Chemical Data'!L476),'Chemical Data'!L476,"")</f>
        <v>5.94</v>
      </c>
      <c r="M133" s="2">
        <f>IF(ISNUMBER('Chemical Data'!M476),'Chemical Data'!M476,"")</f>
        <v>6</v>
      </c>
      <c r="N133" s="4">
        <f>IF(ISNUMBER('Chemical Data'!N476),'Chemical Data'!N476,"")</f>
        <v>634</v>
      </c>
      <c r="O133" s="4">
        <f>IF(ISNUMBER('Chemical Data'!O476),'Chemical Data'!O476,"")</f>
        <v>709</v>
      </c>
      <c r="P133" s="4">
        <f>IF(ISNUMBER('Chemical Data'!P476),'Chemical Data'!P476,"")</f>
        <v>10.9</v>
      </c>
      <c r="Q133" s="4">
        <f>IF(ISNUMBER('Chemical Data'!Q476),'Chemical Data'!Q476,"")</f>
        <v>38</v>
      </c>
      <c r="R133" s="4">
        <f>IF(ISNUMBER('Chemical Data'!R476),'Chemical Data'!R476,"")</f>
        <v>34.4</v>
      </c>
      <c r="S133" s="4">
        <f>IF(ISNUMBER('Chemical Data'!S476),'Chemical Data'!S476,"")</f>
        <v>59.4</v>
      </c>
      <c r="T133" s="4">
        <f>IF(ISNUMBER('Chemical Data'!T476),'Chemical Data'!T476,"")</f>
        <v>38.053147681074847</v>
      </c>
      <c r="U133" s="4"/>
      <c r="V133" s="4"/>
      <c r="W133" s="4">
        <f>IF(ISNUMBER('Chemical Data'!W476),'Chemical Data'!W476,"")</f>
        <v>43.2</v>
      </c>
      <c r="X133" s="4">
        <f>IF(ISNUMBER('Chemical Data'!X476),'Chemical Data'!X476,"")</f>
        <v>38.905999999999999</v>
      </c>
      <c r="Y133" s="3">
        <f>IF(W133-X133&lt;0,0,W133-X133)</f>
        <v>4.294000000000004</v>
      </c>
      <c r="Z133" s="4">
        <f>IF(ISNUMBER('Chemical Data'!Z476),'Chemical Data'!Z476,"")</f>
        <v>0.3</v>
      </c>
      <c r="AA133" s="4">
        <f>IF(ISNUMBER('Chemical Data'!AA476),'Chemical Data'!AA476,"")</f>
        <v>3.53</v>
      </c>
      <c r="AB133" s="4" t="str">
        <f>IF(ISNUMBER('Chemical Data'!AB476),'Chemical Data'!AB476,"")</f>
        <v/>
      </c>
      <c r="AC133" s="4">
        <f>IF(ISNUMBER('Chemical Data'!AC476),'Chemical Data'!AC476,"")</f>
        <v>73.099999999999994</v>
      </c>
      <c r="AD133" s="4">
        <f>IF(ISNUMBER('Chemical Data'!AD476),'Chemical Data'!AD476,"")</f>
        <v>30.6</v>
      </c>
      <c r="AE133" s="4">
        <f>IF(ISNUMBER('Chemical Data'!AE476),'Chemical Data'!AE476,"")</f>
        <v>2.82</v>
      </c>
      <c r="AF133" s="4">
        <f>IF(ISNUMBER('Chemical Data'!AF476),'Chemical Data'!AF476,"")</f>
        <v>2.23</v>
      </c>
      <c r="AG133" s="4">
        <f>IF(ISNUMBER('Chemical Data'!AG476),'Chemical Data'!AG476,"")</f>
        <v>4</v>
      </c>
      <c r="AH133" s="4">
        <f>IF(ISNUMBER('Chemical Data'!AH476),'Chemical Data'!AH476,"")</f>
        <v>0.05</v>
      </c>
      <c r="AI133" s="4">
        <f>IF(ISNUMBER('Chemical Data'!AI476),'Chemical Data'!AI476,"")</f>
        <v>3.1E-2</v>
      </c>
      <c r="AJ133" s="4">
        <f>IF(ISNUMBER('Chemical Data'!AJ476),'Chemical Data'!AJ476,"")</f>
        <v>0.2</v>
      </c>
      <c r="AK133" s="4"/>
      <c r="AL133" s="4"/>
      <c r="AM133" s="4" t="str">
        <f>IF(ISNUMBER('Chemical Data'!AM476),'Chemical Data'!AM476,"")</f>
        <v/>
      </c>
      <c r="AN133" s="4">
        <f>IF(ISNUMBER('Chemical Data'!AN476),'Chemical Data'!AN476,"")</f>
        <v>16.465680000000003</v>
      </c>
      <c r="AO133" s="4">
        <f>IF(ISNUMBER('Chemical Data'!AO476),'Chemical Data'!AO476,"")</f>
        <v>11.975040000000002</v>
      </c>
      <c r="AP133" s="4">
        <f>IF(ISNUMBER('Chemical Data'!AP476),'Chemical Data'!AP476,"")</f>
        <v>8.3160000000000012E-2</v>
      </c>
      <c r="AQ133" s="4">
        <f>IF(ISNUMBER('Chemical Data'!AQ476),'Chemical Data'!AQ476,"")</f>
        <v>0.97851600000000005</v>
      </c>
      <c r="AR133" s="4">
        <f>IF(ISNUMBER('Chemical Data'!AR476),'Chemical Data'!AR476,"")</f>
        <v>0</v>
      </c>
      <c r="AS133" s="1">
        <f t="shared" si="17"/>
        <v>9.5356799999999993</v>
      </c>
    </row>
    <row r="134" spans="1:48" ht="14.25" customHeight="1" x14ac:dyDescent="0.3">
      <c r="A134" s="61">
        <f>'Chemical Data'!A477</f>
        <v>45169</v>
      </c>
      <c r="B134" s="61" t="str">
        <f>'Chemical Data'!B477</f>
        <v>014</v>
      </c>
      <c r="C134" s="61" t="str">
        <f>'Chemical Data'!C477</f>
        <v>PD3</v>
      </c>
      <c r="D134" s="61"/>
      <c r="E134" s="61" t="str">
        <f>'Chemical Data'!E477</f>
        <v>Penn Run AMD -3 North side</v>
      </c>
      <c r="F134" s="61"/>
      <c r="G134" s="61"/>
      <c r="H134" s="61" t="str">
        <f>'Chemical Data'!H477</f>
        <v>SFU</v>
      </c>
      <c r="I134" s="74">
        <v>1.9390000000000001</v>
      </c>
      <c r="J134" s="4">
        <f>IF(ISNUMBER('Chemical Data'!J477),'Chemical Data'!J477,"")</f>
        <v>22.2</v>
      </c>
      <c r="K134" s="4" t="s">
        <v>96</v>
      </c>
      <c r="L134" s="2">
        <f>IF(ISNUMBER('Chemical Data'!L477),'Chemical Data'!L477,"")</f>
        <v>5.75</v>
      </c>
      <c r="M134" s="2">
        <f>IF(ISNUMBER('Chemical Data'!M477),'Chemical Data'!M477,"")</f>
        <v>5.7</v>
      </c>
      <c r="N134" s="4">
        <f>IF(ISNUMBER('Chemical Data'!N477),'Chemical Data'!N477,"")</f>
        <v>727</v>
      </c>
      <c r="O134" s="4">
        <f>IF(ISNUMBER('Chemical Data'!O477),'Chemical Data'!O477,"")</f>
        <v>693</v>
      </c>
      <c r="P134" s="4" t="str">
        <f>IF(ISNUMBER('Chemical Data'!P477),'Chemical Data'!P477,"")</f>
        <v/>
      </c>
      <c r="Q134" s="4" t="str">
        <f>IF(ISNUMBER('Chemical Data'!Q477),'Chemical Data'!Q477,"")</f>
        <v/>
      </c>
      <c r="R134" s="4">
        <f>IF(ISNUMBER('Chemical Data'!R477),'Chemical Data'!R477,"")</f>
        <v>27.8</v>
      </c>
      <c r="S134" s="4">
        <f>IF(ISNUMBER('Chemical Data'!S477),'Chemical Data'!S477,"")</f>
        <v>84.6</v>
      </c>
      <c r="T134" s="4">
        <f>IF(ISNUMBER('Chemical Data'!T477),'Chemical Data'!T477,"")</f>
        <v>56.163443970501959</v>
      </c>
      <c r="U134" s="4"/>
      <c r="V134" s="4"/>
      <c r="W134" s="4">
        <f>IF(ISNUMBER('Chemical Data'!W477),'Chemical Data'!W477,"")</f>
        <v>45.3</v>
      </c>
      <c r="X134" s="4">
        <f>IF(ISNUMBER('Chemical Data'!X477),'Chemical Data'!X477,"")</f>
        <v>43.207000000000001</v>
      </c>
      <c r="Y134" s="3">
        <f t="shared" ref="Y134:Y137" si="101">IF(W134-X134&lt;0,0,W134-X134)</f>
        <v>2.0929999999999964</v>
      </c>
      <c r="Z134" s="4">
        <f>IF(ISNUMBER('Chemical Data'!Z477),'Chemical Data'!Z477,"")</f>
        <v>0.3</v>
      </c>
      <c r="AA134" s="4">
        <f>IF(ISNUMBER('Chemical Data'!AA477),'Chemical Data'!AA477,"")</f>
        <v>3.63</v>
      </c>
      <c r="AB134" s="4">
        <f>IF(ISNUMBER('Chemical Data'!AB477),'Chemical Data'!AB477,"")</f>
        <v>345</v>
      </c>
      <c r="AC134" s="4">
        <f>IF(ISNUMBER('Chemical Data'!AC477),'Chemical Data'!AC477,"")</f>
        <v>74.400000000000006</v>
      </c>
      <c r="AD134" s="4">
        <f>IF(ISNUMBER('Chemical Data'!AD477),'Chemical Data'!AD477,"")</f>
        <v>30.7</v>
      </c>
      <c r="AE134" s="4">
        <f>IF(ISNUMBER('Chemical Data'!AE477),'Chemical Data'!AE477,"")</f>
        <v>2.88</v>
      </c>
      <c r="AF134" s="4">
        <f>IF(ISNUMBER('Chemical Data'!AF477),'Chemical Data'!AF477,"")</f>
        <v>2.2599999999999998</v>
      </c>
      <c r="AG134" s="4">
        <f>IF(ISNUMBER('Chemical Data'!AG477),'Chemical Data'!AG477,"")</f>
        <v>4</v>
      </c>
      <c r="AH134" s="4">
        <f>IF(ISNUMBER('Chemical Data'!AH477),'Chemical Data'!AH477,"")</f>
        <v>0.05</v>
      </c>
      <c r="AI134" s="4">
        <f>IF(ISNUMBER('Chemical Data'!AI477),'Chemical Data'!AI477,"")</f>
        <v>3.5000000000000003E-2</v>
      </c>
      <c r="AJ134" s="4">
        <f>IF(ISNUMBER('Chemical Data'!AJ477),'Chemical Data'!AJ477,"")</f>
        <v>0.2</v>
      </c>
      <c r="AK134" s="4"/>
      <c r="AL134" s="4"/>
      <c r="AM134" s="4" t="str">
        <f>IF(ISNUMBER('Chemical Data'!AM477),'Chemical Data'!AM477,"")</f>
        <v/>
      </c>
      <c r="AN134" s="4">
        <f>IF(ISNUMBER('Chemical Data'!AN477),'Chemical Data'!AN477,"")</f>
        <v>22.53744</v>
      </c>
      <c r="AO134" s="4">
        <f>IF(ISNUMBER('Chemical Data'!AO477),'Chemical Data'!AO477,"")</f>
        <v>12.067919999999999</v>
      </c>
      <c r="AP134" s="4">
        <f>IF(ISNUMBER('Chemical Data'!AP477),'Chemical Data'!AP477,"")</f>
        <v>7.9919999999999991E-2</v>
      </c>
      <c r="AQ134" s="4">
        <f>IF(ISNUMBER('Chemical Data'!AQ477),'Chemical Data'!AQ477,"")</f>
        <v>0.967032</v>
      </c>
      <c r="AR134" s="4">
        <f>IF(ISNUMBER('Chemical Data'!AR477),'Chemical Data'!AR477,"")</f>
        <v>91.908000000000001</v>
      </c>
      <c r="AS134" s="1">
        <f t="shared" si="17"/>
        <v>7.4059199999999992</v>
      </c>
    </row>
    <row r="135" spans="1:48" ht="14.25" customHeight="1" x14ac:dyDescent="0.3">
      <c r="A135" s="61">
        <v>45352</v>
      </c>
      <c r="B135" s="61"/>
      <c r="C135" s="61" t="s">
        <v>289</v>
      </c>
      <c r="D135" s="61"/>
      <c r="E135" s="61" t="s">
        <v>290</v>
      </c>
      <c r="F135" s="61"/>
      <c r="G135" s="61"/>
      <c r="H135" s="61" t="s">
        <v>218</v>
      </c>
      <c r="I135" s="74"/>
      <c r="J135" s="4">
        <f>(87.33+21.83)*0.3333</f>
        <v>36.383027999999996</v>
      </c>
      <c r="K135" s="4" t="s">
        <v>96</v>
      </c>
      <c r="L135" s="2">
        <v>6.04</v>
      </c>
      <c r="M135" s="2">
        <f>M148</f>
        <v>5.8</v>
      </c>
      <c r="N135" s="4">
        <v>676</v>
      </c>
      <c r="O135" s="4"/>
      <c r="P135" s="4">
        <v>10</v>
      </c>
      <c r="Q135" s="4"/>
      <c r="R135" s="4">
        <f>R148</f>
        <v>39</v>
      </c>
      <c r="S135" s="4">
        <f t="shared" ref="S135:AB135" si="102">S148</f>
        <v>48.6</v>
      </c>
      <c r="T135" s="4">
        <f t="shared" si="102"/>
        <v>39.013341548545952</v>
      </c>
      <c r="U135" s="4"/>
      <c r="V135" s="4"/>
      <c r="W135" s="4">
        <f t="shared" si="102"/>
        <v>42.887</v>
      </c>
      <c r="X135" s="4">
        <f t="shared" si="102"/>
        <v>40.225000000000001</v>
      </c>
      <c r="Y135" s="3">
        <f>IF(W135-X135&lt;0,0,W135-X135)</f>
        <v>2.661999999999999</v>
      </c>
      <c r="Z135" s="3">
        <f t="shared" si="102"/>
        <v>0.5</v>
      </c>
      <c r="AA135" s="4">
        <f t="shared" si="102"/>
        <v>3.32</v>
      </c>
      <c r="AB135" s="4">
        <f t="shared" si="102"/>
        <v>326</v>
      </c>
      <c r="AC135" s="4"/>
      <c r="AD135" s="4"/>
      <c r="AE135" s="4"/>
      <c r="AF135" s="4"/>
      <c r="AG135" s="4"/>
      <c r="AH135" s="4"/>
      <c r="AI135" s="4"/>
      <c r="AJ135" s="4"/>
      <c r="AK135" s="4"/>
      <c r="AL135" s="4"/>
      <c r="AM135" s="4"/>
      <c r="AN135" s="1">
        <f>S135*J135*0.012</f>
        <v>21.218581929599999</v>
      </c>
      <c r="AO135" s="1">
        <f>W135*J135*0.012</f>
        <v>18.724307062031997</v>
      </c>
      <c r="AP135" s="1">
        <f>Z135*J135*0.012</f>
        <v>0.21829816799999999</v>
      </c>
      <c r="AQ135" s="1">
        <f>AA135*J135*0.012</f>
        <v>1.4494998355199997</v>
      </c>
      <c r="AR135" s="1">
        <f>AB135*J135*0.012</f>
        <v>142.33040553599997</v>
      </c>
      <c r="AS135" s="1">
        <f t="shared" si="17"/>
        <v>17.027257104</v>
      </c>
    </row>
    <row r="136" spans="1:48" ht="14.25" customHeight="1" x14ac:dyDescent="0.3">
      <c r="A136" s="61">
        <v>45392</v>
      </c>
      <c r="B136" s="74">
        <v>3</v>
      </c>
      <c r="C136" s="61" t="s">
        <v>289</v>
      </c>
      <c r="D136" s="61"/>
      <c r="E136" s="61" t="s">
        <v>290</v>
      </c>
      <c r="F136" s="61"/>
      <c r="G136" s="61"/>
      <c r="H136" s="61" t="s">
        <v>338</v>
      </c>
      <c r="I136" s="74"/>
      <c r="J136" s="4">
        <f>IF(ISNUMBER('Chemical Data'!J479),'Chemical Data'!J479,"")</f>
        <v>46.3</v>
      </c>
      <c r="K136" s="4" t="s">
        <v>96</v>
      </c>
      <c r="L136" s="43">
        <f>IF(ISNUMBER('Chemical Data'!L479),'Chemical Data'!L479,"")</f>
        <v>5.85</v>
      </c>
      <c r="M136" s="43">
        <f>IF(ISNUMBER('Chemical Data'!M479),'Chemical Data'!M479,"")</f>
        <v>5.8</v>
      </c>
      <c r="N136" s="4">
        <f>IF(ISNUMBER('Chemical Data'!N479),'Chemical Data'!N479,"")</f>
        <v>605</v>
      </c>
      <c r="O136" s="4" t="str">
        <f>IF(ISNUMBER('Chemical Data'!O479),'Chemical Data'!O479,"")</f>
        <v/>
      </c>
      <c r="P136" s="4">
        <f>IF(ISNUMBER('Chemical Data'!P479),'Chemical Data'!P479,"")</f>
        <v>10.199999999999999</v>
      </c>
      <c r="Q136" s="4" t="str">
        <f>IF(ISNUMBER('Chemical Data'!Q479),'Chemical Data'!Q479,"")</f>
        <v/>
      </c>
      <c r="R136" s="4">
        <f>IF(ISNUMBER('Chemical Data'!R479),'Chemical Data'!R479,"")</f>
        <v>34</v>
      </c>
      <c r="S136" s="4">
        <f>IF(ISNUMBER('Chemical Data'!S479),'Chemical Data'!S479,"")</f>
        <v>56.2</v>
      </c>
      <c r="T136" s="4">
        <f>IF(ISNUMBER('Chemical Data'!T479),'Chemical Data'!T479,"")</f>
        <v>36.967206877231149</v>
      </c>
      <c r="U136" s="4"/>
      <c r="V136" s="4"/>
      <c r="W136" s="4">
        <f>IF(ISNUMBER('Chemical Data'!W479),'Chemical Data'!W479,"")</f>
        <v>38.082000000000001</v>
      </c>
      <c r="X136" s="4">
        <f>IF(ISNUMBER('Chemical Data'!X479),'Chemical Data'!X479,"")</f>
        <v>36.002000000000002</v>
      </c>
      <c r="Y136" s="3">
        <f t="shared" si="101"/>
        <v>2.0799999999999983</v>
      </c>
      <c r="Z136" s="3">
        <f>IF(ISNUMBER('Chemical Data'!Z479),'Chemical Data'!Z479,"")</f>
        <v>0.5</v>
      </c>
      <c r="AA136" s="4">
        <f>IF(ISNUMBER('Chemical Data'!AA479),'Chemical Data'!AA479,"")</f>
        <v>3.585</v>
      </c>
      <c r="AB136" s="4">
        <f>IF(ISNUMBER('Chemical Data'!AB479),'Chemical Data'!AB479,"")</f>
        <v>307.89999999999998</v>
      </c>
      <c r="AC136" s="4" t="str">
        <f>IF(ISNUMBER('Chemical Data'!AC479),'Chemical Data'!AC479,"")</f>
        <v/>
      </c>
      <c r="AD136" s="4" t="str">
        <f>IF(ISNUMBER('Chemical Data'!AD479),'Chemical Data'!AD479,"")</f>
        <v/>
      </c>
      <c r="AE136" s="4" t="str">
        <f>IF(ISNUMBER('Chemical Data'!AE479),'Chemical Data'!AE479,"")</f>
        <v/>
      </c>
      <c r="AF136" s="4" t="str">
        <f>IF(ISNUMBER('Chemical Data'!AF479),'Chemical Data'!AF479,"")</f>
        <v/>
      </c>
      <c r="AG136" s="4" t="str">
        <f>IF(ISNUMBER('Chemical Data'!AG479),'Chemical Data'!AG479,"")</f>
        <v/>
      </c>
      <c r="AH136" s="4" t="str">
        <f>IF(ISNUMBER('Chemical Data'!AH479),'Chemical Data'!AH479,"")</f>
        <v/>
      </c>
      <c r="AI136" s="4" t="str">
        <f>IF(ISNUMBER('Chemical Data'!AI479),'Chemical Data'!AI479,"")</f>
        <v/>
      </c>
      <c r="AJ136" s="4" t="str">
        <f>IF(ISNUMBER('Chemical Data'!AJ479),'Chemical Data'!AJ479,"")</f>
        <v/>
      </c>
      <c r="AK136" s="4" t="str">
        <f>IF(ISNUMBER('Chemical Data'!AK479),'Chemical Data'!AK479,"")</f>
        <v/>
      </c>
      <c r="AL136" s="4">
        <f>IF(ISNUMBER('Chemical Data'!AL479),'Chemical Data'!AL479,"")</f>
        <v>496</v>
      </c>
      <c r="AM136" s="4" t="str">
        <f>IF(ISNUMBER('Chemical Data'!AM479),'Chemical Data'!AM479,"")</f>
        <v/>
      </c>
      <c r="AN136" s="4">
        <f>IF(ISNUMBER('Chemical Data'!AN479),'Chemical Data'!AN479,"")</f>
        <v>31.224720000000001</v>
      </c>
      <c r="AO136" s="4">
        <f>IF(ISNUMBER('Chemical Data'!AO479),'Chemical Data'!AO479,"")</f>
        <v>21.1583592</v>
      </c>
      <c r="AP136" s="4">
        <f>IF(ISNUMBER('Chemical Data'!AP479),'Chemical Data'!AP479,"")</f>
        <v>0.27779999999999999</v>
      </c>
      <c r="AQ136" s="4">
        <f>IF(ISNUMBER('Chemical Data'!AQ479),'Chemical Data'!AQ479,"")</f>
        <v>1.9918260000000001</v>
      </c>
      <c r="AR136" s="4">
        <f>IF(ISNUMBER('Chemical Data'!AR479),'Chemical Data'!AR479,"")</f>
        <v>171.06923999999998</v>
      </c>
      <c r="AS136" s="1">
        <f>0.012*J136*R136</f>
        <v>18.8904</v>
      </c>
    </row>
    <row r="137" spans="1:48" ht="14.25" customHeight="1" x14ac:dyDescent="0.3">
      <c r="A137" s="61">
        <v>45442</v>
      </c>
      <c r="B137" s="74">
        <v>3</v>
      </c>
      <c r="C137" s="61" t="s">
        <v>289</v>
      </c>
      <c r="D137" s="61"/>
      <c r="E137" s="61" t="s">
        <v>290</v>
      </c>
      <c r="F137" s="61"/>
      <c r="G137" s="61"/>
      <c r="H137" s="61" t="s">
        <v>218</v>
      </c>
      <c r="I137" s="74"/>
      <c r="J137" s="4">
        <f>IF(ISNUMBER('Chemical Data'!J480),'Chemical Data'!J480,"")</f>
        <v>30.3</v>
      </c>
      <c r="K137" s="4" t="s">
        <v>96</v>
      </c>
      <c r="L137" s="43">
        <f>IF(ISNUMBER('Chemical Data'!L480),'Chemical Data'!L480,"")</f>
        <v>5.71</v>
      </c>
      <c r="M137" s="43">
        <f>IF(ISNUMBER('Chemical Data'!M480),'Chemical Data'!M480,"")</f>
        <v>6</v>
      </c>
      <c r="N137" s="4">
        <f>IF(ISNUMBER('Chemical Data'!N480),'Chemical Data'!N480,"")</f>
        <v>714</v>
      </c>
      <c r="O137" s="4" t="str">
        <f>IF(ISNUMBER('Chemical Data'!O480),'Chemical Data'!O480,"")</f>
        <v/>
      </c>
      <c r="P137" s="4">
        <f>IF(ISNUMBER('Chemical Data'!P480),'Chemical Data'!P480,"")</f>
        <v>10.8</v>
      </c>
      <c r="Q137" s="4" t="str">
        <f>IF(ISNUMBER('Chemical Data'!Q480),'Chemical Data'!Q480,"")</f>
        <v/>
      </c>
      <c r="R137" s="4">
        <f>IF(ISNUMBER('Chemical Data'!R480),'Chemical Data'!R480,"")</f>
        <v>38.6</v>
      </c>
      <c r="S137" s="4">
        <f>IF(ISNUMBER('Chemical Data'!S480),'Chemical Data'!S480,"")</f>
        <v>56.8</v>
      </c>
      <c r="T137" s="4">
        <f>IF(ISNUMBER('Chemical Data'!T480),'Chemical Data'!T480,"")</f>
        <v>35.372972229987916</v>
      </c>
      <c r="U137" s="4"/>
      <c r="V137" s="4"/>
      <c r="W137" s="4">
        <f>IF(ISNUMBER('Chemical Data'!W480),'Chemical Data'!W480,"")</f>
        <v>39.988999999999997</v>
      </c>
      <c r="X137" s="4">
        <f>IF(ISNUMBER('Chemical Data'!X480),'Chemical Data'!X480,"")</f>
        <v>37.811999999999998</v>
      </c>
      <c r="Y137" s="3">
        <f t="shared" si="101"/>
        <v>2.1769999999999996</v>
      </c>
      <c r="Z137" s="3">
        <f>IF(ISNUMBER('Chemical Data'!Z480),'Chemical Data'!Z480,"")</f>
        <v>0.5</v>
      </c>
      <c r="AA137" s="4">
        <f>IF(ISNUMBER('Chemical Data'!AA480),'Chemical Data'!AA480,"")</f>
        <v>3.44</v>
      </c>
      <c r="AB137" s="4">
        <f>IF(ISNUMBER('Chemical Data'!AB480),'Chemical Data'!AB480,"")</f>
        <v>330.4</v>
      </c>
      <c r="AC137" s="4" t="str">
        <f>IF(ISNUMBER('Chemical Data'!AC480),'Chemical Data'!AC480,"")</f>
        <v/>
      </c>
      <c r="AD137" s="4" t="str">
        <f>IF(ISNUMBER('Chemical Data'!AD480),'Chemical Data'!AD480,"")</f>
        <v/>
      </c>
      <c r="AE137" s="4" t="str">
        <f>IF(ISNUMBER('Chemical Data'!AE480),'Chemical Data'!AE480,"")</f>
        <v/>
      </c>
      <c r="AF137" s="4" t="str">
        <f>IF(ISNUMBER('Chemical Data'!AF480),'Chemical Data'!AF480,"")</f>
        <v/>
      </c>
      <c r="AG137" s="4" t="str">
        <f>IF(ISNUMBER('Chemical Data'!AG480),'Chemical Data'!AG480,"")</f>
        <v/>
      </c>
      <c r="AH137" s="4" t="str">
        <f>IF(ISNUMBER('Chemical Data'!AH480),'Chemical Data'!AH480,"")</f>
        <v/>
      </c>
      <c r="AI137" s="4" t="str">
        <f>IF(ISNUMBER('Chemical Data'!AI480),'Chemical Data'!AI480,"")</f>
        <v/>
      </c>
      <c r="AJ137" s="4" t="str">
        <f>IF(ISNUMBER('Chemical Data'!AJ480),'Chemical Data'!AJ480,"")</f>
        <v/>
      </c>
      <c r="AK137" s="4" t="str">
        <f>IF(ISNUMBER('Chemical Data'!AK480),'Chemical Data'!AK480,"")</f>
        <v/>
      </c>
      <c r="AL137" s="4">
        <f>IF(ISNUMBER('Chemical Data'!AL480),'Chemical Data'!AL480,"")</f>
        <v>594</v>
      </c>
      <c r="AM137" s="4" t="str">
        <f>IF(ISNUMBER('Chemical Data'!AM480),'Chemical Data'!AM480,"")</f>
        <v/>
      </c>
      <c r="AN137" s="4">
        <f>IF(ISNUMBER('Chemical Data'!AN480),'Chemical Data'!AN480,"")</f>
        <v>20.652480000000001</v>
      </c>
      <c r="AO137" s="4">
        <f>IF(ISNUMBER('Chemical Data'!AO480),'Chemical Data'!AO480,"")</f>
        <v>14.5400004</v>
      </c>
      <c r="AP137" s="4">
        <f>IF(ISNUMBER('Chemical Data'!AP480),'Chemical Data'!AP480,"")</f>
        <v>0.18180000000000002</v>
      </c>
      <c r="AQ137" s="4">
        <f>IF(ISNUMBER('Chemical Data'!AQ480),'Chemical Data'!AQ480,"")</f>
        <v>1.2507840000000001</v>
      </c>
      <c r="AR137" s="4">
        <f>IF(ISNUMBER('Chemical Data'!AR480),'Chemical Data'!AR480,"")</f>
        <v>120.13343999999999</v>
      </c>
      <c r="AS137" s="4">
        <f>IF(ISNUMBER('Chemical Data'!AS480),'Chemical Data'!AS480,"")</f>
        <v>14.03496</v>
      </c>
    </row>
    <row r="138" spans="1:48" ht="14.25" customHeight="1" x14ac:dyDescent="0.3">
      <c r="A138" s="61">
        <v>45461</v>
      </c>
      <c r="B138" s="74">
        <v>3</v>
      </c>
      <c r="C138" s="61" t="s">
        <v>289</v>
      </c>
      <c r="D138" s="61"/>
      <c r="E138" s="61" t="s">
        <v>290</v>
      </c>
      <c r="F138" s="61"/>
      <c r="G138" s="61"/>
      <c r="H138" s="61" t="s">
        <v>218</v>
      </c>
      <c r="I138" s="74"/>
      <c r="J138" s="4">
        <v>29.26</v>
      </c>
      <c r="K138" s="4" t="s">
        <v>96</v>
      </c>
      <c r="L138" s="43">
        <v>5.7</v>
      </c>
      <c r="M138" s="43">
        <f>IF(ISNUMBER('Chemical Data'!M481),'Chemical Data'!M481,"")</f>
        <v>5.8</v>
      </c>
      <c r="N138" s="4">
        <v>684</v>
      </c>
      <c r="O138" s="4" t="str">
        <f>IF(ISNUMBER('Chemical Data'!O481),'Chemical Data'!O481,"")</f>
        <v/>
      </c>
      <c r="P138" s="4">
        <v>11</v>
      </c>
      <c r="Q138" s="4">
        <v>29</v>
      </c>
      <c r="R138" s="4">
        <f>IF(ISNUMBER('Chemical Data'!R481),'Chemical Data'!R481,"")</f>
        <v>35.200000000000003</v>
      </c>
      <c r="S138" s="4">
        <f>IF(ISNUMBER('Chemical Data'!S481),'Chemical Data'!S481,"")</f>
        <v>55.8</v>
      </c>
      <c r="T138" s="4">
        <f>IF(ISNUMBER('Chemical Data'!T481),'Chemical Data'!T481,"")</f>
        <v>43.871913115748441</v>
      </c>
      <c r="U138" s="4"/>
      <c r="V138" s="4"/>
      <c r="W138" s="4">
        <f>IF(ISNUMBER('Chemical Data'!W481),'Chemical Data'!W481,"")</f>
        <v>39.71</v>
      </c>
      <c r="X138" s="4">
        <f>IF(ISNUMBER('Chemical Data'!X481),'Chemical Data'!X481,"")</f>
        <v>37.445</v>
      </c>
      <c r="Y138" s="3">
        <f t="shared" ref="Y138:Y143" si="103">IF(W138-X138&lt;0,0,W138-X138)</f>
        <v>2.2650000000000006</v>
      </c>
      <c r="Z138" s="3">
        <f>IF(ISNUMBER('Chemical Data'!Z481),'Chemical Data'!Z481,"")</f>
        <v>0.5</v>
      </c>
      <c r="AA138" s="4">
        <f>IF(ISNUMBER('Chemical Data'!AA481),'Chemical Data'!AA481,"")</f>
        <v>3.1920000000000002</v>
      </c>
      <c r="AB138" s="4">
        <f>IF(ISNUMBER('Chemical Data'!AB481),'Chemical Data'!AB481,"")</f>
        <v>320.5</v>
      </c>
      <c r="AC138" s="4" t="str">
        <f>IF(ISNUMBER('Chemical Data'!AC481),'Chemical Data'!AC481,"")</f>
        <v/>
      </c>
      <c r="AD138" s="4" t="str">
        <f>IF(ISNUMBER('Chemical Data'!AD481),'Chemical Data'!AD481,"")</f>
        <v/>
      </c>
      <c r="AE138" s="4" t="str">
        <f>IF(ISNUMBER('Chemical Data'!AE481),'Chemical Data'!AE481,"")</f>
        <v/>
      </c>
      <c r="AF138" s="4" t="str">
        <f>IF(ISNUMBER('Chemical Data'!AF481),'Chemical Data'!AF481,"")</f>
        <v/>
      </c>
      <c r="AG138" s="4" t="str">
        <f>IF(ISNUMBER('Chemical Data'!AG481),'Chemical Data'!AG481,"")</f>
        <v/>
      </c>
      <c r="AH138" s="4" t="str">
        <f>IF(ISNUMBER('Chemical Data'!AH481),'Chemical Data'!AH481,"")</f>
        <v/>
      </c>
      <c r="AI138" s="4" t="str">
        <f>IF(ISNUMBER('Chemical Data'!AI481),'Chemical Data'!AI481,"")</f>
        <v/>
      </c>
      <c r="AJ138" s="4" t="str">
        <f>IF(ISNUMBER('Chemical Data'!AJ481),'Chemical Data'!AJ481,"")</f>
        <v/>
      </c>
      <c r="AK138" s="4" t="str">
        <f>IF(ISNUMBER('Chemical Data'!AK481),'Chemical Data'!AK481,"")</f>
        <v/>
      </c>
      <c r="AL138" s="4">
        <f>IF(ISNUMBER('Chemical Data'!AL481),'Chemical Data'!AL481,"")</f>
        <v>624</v>
      </c>
      <c r="AM138" s="4" t="str">
        <f>IF(ISNUMBER('Chemical Data'!AM481),'Chemical Data'!AM481,"")</f>
        <v/>
      </c>
      <c r="AN138" s="4">
        <f>IF(ISNUMBER('Chemical Data'!AN481),'Chemical Data'!AN481,"")</f>
        <v>19.592496000000001</v>
      </c>
      <c r="AO138" s="4">
        <f>IF(ISNUMBER('Chemical Data'!AO481),'Chemical Data'!AO481,"")</f>
        <v>13.942975200000001</v>
      </c>
      <c r="AP138" s="4">
        <f>IF(ISNUMBER('Chemical Data'!AP481),'Chemical Data'!AP481,"")</f>
        <v>0.17556000000000002</v>
      </c>
      <c r="AQ138" s="4">
        <f>IF(ISNUMBER('Chemical Data'!AQ481),'Chemical Data'!AQ481,"")</f>
        <v>1.1207750400000003</v>
      </c>
      <c r="AR138" s="4">
        <f>IF(ISNUMBER('Chemical Data'!AR481),'Chemical Data'!AR481,"")</f>
        <v>112.53396000000001</v>
      </c>
      <c r="AS138" s="4">
        <f>IF(ISNUMBER('Chemical Data'!AS481),'Chemical Data'!AS481,"")</f>
        <v>12.359424000000002</v>
      </c>
    </row>
    <row r="139" spans="1:48" ht="14.25" customHeight="1" x14ac:dyDescent="0.3">
      <c r="A139" s="61">
        <v>45483</v>
      </c>
      <c r="B139" s="74">
        <v>3</v>
      </c>
      <c r="C139" s="61" t="s">
        <v>289</v>
      </c>
      <c r="D139" s="61"/>
      <c r="E139" s="61" t="s">
        <v>290</v>
      </c>
      <c r="F139" s="61"/>
      <c r="G139" s="61"/>
      <c r="H139" s="61" t="s">
        <v>218</v>
      </c>
      <c r="I139" s="74"/>
      <c r="J139" s="4">
        <f>IF(ISNUMBER('Chemical Data'!J482),'Chemical Data'!J482,"")</f>
        <v>27.055</v>
      </c>
      <c r="K139" s="4" t="s">
        <v>96</v>
      </c>
      <c r="L139" s="2">
        <f>IF(ISNUMBER('Chemical Data'!L482),'Chemical Data'!L482,"")</f>
        <v>5.83</v>
      </c>
      <c r="M139" s="43">
        <f>IF(ISNUMBER('Chemical Data'!M482),'Chemical Data'!M482,"")</f>
        <v>5.7</v>
      </c>
      <c r="N139" s="4">
        <f>IF(ISNUMBER('Chemical Data'!N482),'Chemical Data'!N482,"")</f>
        <v>710</v>
      </c>
      <c r="O139" s="4" t="str">
        <f>IF(ISNUMBER('Chemical Data'!O482),'Chemical Data'!O482,"")</f>
        <v/>
      </c>
      <c r="P139" s="4">
        <f>IF(ISNUMBER('Chemical Data'!P482),'Chemical Data'!P482,"")</f>
        <v>11.3</v>
      </c>
      <c r="Q139" s="4">
        <f>IF(ISNUMBER('Chemical Data'!Q482),'Chemical Data'!Q482,"")</f>
        <v>27</v>
      </c>
      <c r="R139" s="4">
        <f>IF(ISNUMBER('Chemical Data'!R482),'Chemical Data'!R482,"")</f>
        <v>16</v>
      </c>
      <c r="S139" s="4">
        <f>IF(ISNUMBER('Chemical Data'!S482),'Chemical Data'!S482,"")</f>
        <v>44.8</v>
      </c>
      <c r="T139" s="4">
        <f>IF(ISNUMBER('Chemical Data'!T482),'Chemical Data'!T482,"")</f>
        <v>49.317135419408416</v>
      </c>
      <c r="U139" s="4"/>
      <c r="V139" s="4"/>
      <c r="W139" s="4">
        <f>IF(ISNUMBER('Chemical Data'!W482),'Chemical Data'!W482,"")</f>
        <v>49.97</v>
      </c>
      <c r="X139" s="4">
        <f>IF(ISNUMBER('Chemical Data'!X482),'Chemical Data'!X482,"")</f>
        <v>39.362000000000002</v>
      </c>
      <c r="Y139" s="3">
        <f t="shared" si="103"/>
        <v>10.607999999999997</v>
      </c>
      <c r="Z139" s="3">
        <f>IF(ISNUMBER('Chemical Data'!Z482),'Chemical Data'!Z482,"")</f>
        <v>0.5</v>
      </c>
      <c r="AA139" s="4">
        <f>IF(ISNUMBER('Chemical Data'!AA482),'Chemical Data'!AA482,"")</f>
        <v>3.214</v>
      </c>
      <c r="AB139" s="4">
        <f>IF(ISNUMBER('Chemical Data'!AB482),'Chemical Data'!AB482,"")</f>
        <v>335</v>
      </c>
      <c r="AC139" s="4" t="str">
        <f>IF(ISNUMBER('Chemical Data'!AC482),'Chemical Data'!AC482,"")</f>
        <v/>
      </c>
      <c r="AD139" s="4" t="str">
        <f>IF(ISNUMBER('Chemical Data'!AD482),'Chemical Data'!AD482,"")</f>
        <v/>
      </c>
      <c r="AE139" s="4" t="str">
        <f>IF(ISNUMBER('Chemical Data'!AE482),'Chemical Data'!AE482,"")</f>
        <v/>
      </c>
      <c r="AF139" s="4" t="str">
        <f>IF(ISNUMBER('Chemical Data'!AF482),'Chemical Data'!AF482,"")</f>
        <v/>
      </c>
      <c r="AG139" s="4" t="str">
        <f>IF(ISNUMBER('Chemical Data'!AG482),'Chemical Data'!AG482,"")</f>
        <v/>
      </c>
      <c r="AH139" s="4" t="str">
        <f>IF(ISNUMBER('Chemical Data'!AH482),'Chemical Data'!AH482,"")</f>
        <v/>
      </c>
      <c r="AI139" s="4" t="str">
        <f>IF(ISNUMBER('Chemical Data'!AI482),'Chemical Data'!AI482,"")</f>
        <v/>
      </c>
      <c r="AJ139" s="4" t="str">
        <f>IF(ISNUMBER('Chemical Data'!AJ482),'Chemical Data'!AJ482,"")</f>
        <v/>
      </c>
      <c r="AK139" s="4">
        <f>IF(ISNUMBER('Chemical Data'!AK482),'Chemical Data'!AK482,"")</f>
        <v>36</v>
      </c>
      <c r="AL139" s="4">
        <f>IF(ISNUMBER('Chemical Data'!AL482),'Chemical Data'!AL482,"")</f>
        <v>550</v>
      </c>
      <c r="AM139" s="4" t="str">
        <f>IF(ISNUMBER('Chemical Data'!AM482),'Chemical Data'!AM482,"")</f>
        <v/>
      </c>
      <c r="AN139" s="4">
        <f>IF(ISNUMBER('Chemical Data'!AN482),'Chemical Data'!AN482,"")</f>
        <v>14.544767999999998</v>
      </c>
      <c r="AO139" s="4">
        <f>IF(ISNUMBER('Chemical Data'!AO482),'Chemical Data'!AO482,"")</f>
        <v>16.223260199999999</v>
      </c>
      <c r="AP139" s="4">
        <f>IF(ISNUMBER('Chemical Data'!AP482),'Chemical Data'!AP482,"")</f>
        <v>0.16233</v>
      </c>
      <c r="AQ139" s="4">
        <f>IF(ISNUMBER('Chemical Data'!AQ482),'Chemical Data'!AQ482,"")</f>
        <v>1.04345724</v>
      </c>
      <c r="AR139" s="4">
        <f>IF(ISNUMBER('Chemical Data'!AR482),'Chemical Data'!AR482,"")</f>
        <v>108.7611</v>
      </c>
      <c r="AS139" s="4">
        <f>IF(ISNUMBER('Chemical Data'!AS482),'Chemical Data'!AS482,"")</f>
        <v>5.1945600000000001</v>
      </c>
    </row>
    <row r="140" spans="1:48" ht="14.25" customHeight="1" x14ac:dyDescent="0.3">
      <c r="A140" s="61">
        <v>45527</v>
      </c>
      <c r="B140" s="74">
        <v>3</v>
      </c>
      <c r="C140" s="61" t="s">
        <v>289</v>
      </c>
      <c r="D140" s="61"/>
      <c r="E140" s="61" t="s">
        <v>290</v>
      </c>
      <c r="F140" s="61"/>
      <c r="G140" s="61"/>
      <c r="H140" s="61" t="s">
        <v>218</v>
      </c>
      <c r="I140" s="74"/>
      <c r="J140" s="4">
        <f>IF(ISNUMBER('Chemical Data'!J483),'Chemical Data'!J483,"")</f>
        <v>31.430000000000003</v>
      </c>
      <c r="K140" s="4" t="s">
        <v>96</v>
      </c>
      <c r="L140" s="2">
        <f>IF(ISNUMBER('Chemical Data'!L483),'Chemical Data'!L483,"")</f>
        <v>5.58</v>
      </c>
      <c r="M140" s="2">
        <f>IF(ISNUMBER('Chemical Data'!M483),'Chemical Data'!M483,"")</f>
        <v>5.8</v>
      </c>
      <c r="N140" s="4">
        <f>IF(ISNUMBER('Chemical Data'!N483),'Chemical Data'!N483,"")</f>
        <v>631</v>
      </c>
      <c r="O140" s="4" t="str">
        <f>IF(ISNUMBER('Chemical Data'!O483),'Chemical Data'!O483,"")</f>
        <v/>
      </c>
      <c r="P140" s="4" t="str">
        <f>IF(ISNUMBER('Chemical Data'!P483),'Chemical Data'!P483,"")</f>
        <v/>
      </c>
      <c r="Q140" s="4">
        <f>IF(ISNUMBER('Chemical Data'!Q483),'Chemical Data'!Q483,"")</f>
        <v>38</v>
      </c>
      <c r="R140" s="4">
        <f>IF(ISNUMBER('Chemical Data'!R483),'Chemical Data'!R483,"")</f>
        <v>27.4</v>
      </c>
      <c r="S140" s="4">
        <f>IF(ISNUMBER('Chemical Data'!S483),'Chemical Data'!S483,"")</f>
        <v>54.4</v>
      </c>
      <c r="T140" s="4">
        <f>IF(ISNUMBER('Chemical Data'!T483),'Chemical Data'!T483,"")</f>
        <v>42.62876339959476</v>
      </c>
      <c r="U140" s="4"/>
      <c r="V140" s="4"/>
      <c r="W140" s="4">
        <f>IF(ISNUMBER('Chemical Data'!W483),'Chemical Data'!W483,"")</f>
        <v>40.805999999999997</v>
      </c>
      <c r="X140" s="4">
        <f>IF(ISNUMBER('Chemical Data'!X483),'Chemical Data'!X483,"")</f>
        <v>41.454999999999998</v>
      </c>
      <c r="Y140" s="3">
        <f t="shared" si="103"/>
        <v>0</v>
      </c>
      <c r="Z140" s="3">
        <f>IF(ISNUMBER('Chemical Data'!Z483),'Chemical Data'!Z483,"")</f>
        <v>0.5</v>
      </c>
      <c r="AA140" s="4">
        <f>IF(ISNUMBER('Chemical Data'!AA483),'Chemical Data'!AA483,"")</f>
        <v>3.496</v>
      </c>
      <c r="AB140" s="4">
        <f>IF(ISNUMBER('Chemical Data'!AB483),'Chemical Data'!AB483,"")</f>
        <v>334.8</v>
      </c>
      <c r="AC140" s="4" t="str">
        <f>IF(ISNUMBER('Chemical Data'!AC483),'Chemical Data'!AC483,"")</f>
        <v/>
      </c>
      <c r="AD140" s="4" t="str">
        <f>IF(ISNUMBER('Chemical Data'!AD483),'Chemical Data'!AD483,"")</f>
        <v/>
      </c>
      <c r="AE140" s="4" t="str">
        <f>IF(ISNUMBER('Chemical Data'!AE483),'Chemical Data'!AE483,"")</f>
        <v/>
      </c>
      <c r="AF140" s="4" t="str">
        <f>IF(ISNUMBER('Chemical Data'!AF483),'Chemical Data'!AF483,"")</f>
        <v/>
      </c>
      <c r="AG140" s="4" t="str">
        <f>IF(ISNUMBER('Chemical Data'!AG483),'Chemical Data'!AG483,"")</f>
        <v/>
      </c>
      <c r="AH140" s="4" t="str">
        <f>IF(ISNUMBER('Chemical Data'!AH483),'Chemical Data'!AH483,"")</f>
        <v/>
      </c>
      <c r="AI140" s="4" t="str">
        <f>IF(ISNUMBER('Chemical Data'!AI483),'Chemical Data'!AI483,"")</f>
        <v/>
      </c>
      <c r="AJ140" s="4" t="str">
        <f>IF(ISNUMBER('Chemical Data'!AJ483),'Chemical Data'!AJ483,"")</f>
        <v/>
      </c>
      <c r="AK140" s="4" t="str">
        <f>IF(ISNUMBER('Chemical Data'!AK483),'Chemical Data'!AK483,"")</f>
        <v/>
      </c>
      <c r="AL140" s="4">
        <f>IF(ISNUMBER('Chemical Data'!AL483),'Chemical Data'!AL483,"")</f>
        <v>554</v>
      </c>
      <c r="AM140" s="4" t="str">
        <f>IF(ISNUMBER('Chemical Data'!AM483),'Chemical Data'!AM483,"")</f>
        <v/>
      </c>
      <c r="AN140" s="4">
        <f>IF(ISNUMBER('Chemical Data'!AN483),'Chemical Data'!AN483,"")</f>
        <v>20.517504000000002</v>
      </c>
      <c r="AO140" s="4">
        <f>IF(ISNUMBER('Chemical Data'!AO483),'Chemical Data'!AO483,"")</f>
        <v>15.390390960000001</v>
      </c>
      <c r="AP140" s="4">
        <f>IF(ISNUMBER('Chemical Data'!AP483),'Chemical Data'!AP483,"")</f>
        <v>0.18858000000000003</v>
      </c>
      <c r="AQ140" s="4">
        <f>IF(ISNUMBER('Chemical Data'!AQ483),'Chemical Data'!AQ483,"")</f>
        <v>1.3185513600000001</v>
      </c>
      <c r="AR140" s="4">
        <f>IF(ISNUMBER('Chemical Data'!AR483),'Chemical Data'!AR483,"")</f>
        <v>126.27316800000001</v>
      </c>
      <c r="AS140" s="4">
        <f>IF(ISNUMBER('Chemical Data'!AS483),'Chemical Data'!AS483,"")</f>
        <v>10.334184</v>
      </c>
    </row>
    <row r="141" spans="1:48" ht="14.25" customHeight="1" x14ac:dyDescent="0.3">
      <c r="A141" s="61">
        <v>45547</v>
      </c>
      <c r="B141" s="74">
        <v>3</v>
      </c>
      <c r="C141" s="61" t="s">
        <v>289</v>
      </c>
      <c r="D141" s="61"/>
      <c r="E141" s="61" t="s">
        <v>290</v>
      </c>
      <c r="F141" s="61"/>
      <c r="G141" s="61"/>
      <c r="H141" s="61" t="s">
        <v>218</v>
      </c>
      <c r="I141" s="74"/>
      <c r="J141" s="4">
        <f>IF(ISNUMBER('Chemical Data'!J484),'Chemical Data'!J484,"")</f>
        <v>42.6</v>
      </c>
      <c r="K141" s="4" t="s">
        <v>96</v>
      </c>
      <c r="L141" s="2">
        <f>IF(ISNUMBER('Chemical Data'!L484),'Chemical Data'!L484,"")</f>
        <v>5.73</v>
      </c>
      <c r="M141" s="43">
        <f>IF(ISNUMBER('Chemical Data'!M484),'Chemical Data'!M484,"")</f>
        <v>5.8</v>
      </c>
      <c r="N141" s="4">
        <f>IF(ISNUMBER('Chemical Data'!N484),'Chemical Data'!N484,"")</f>
        <v>736</v>
      </c>
      <c r="O141" s="4" t="str">
        <f>IF(ISNUMBER('Chemical Data'!O484),'Chemical Data'!O484,"")</f>
        <v/>
      </c>
      <c r="P141" s="4">
        <f>IF(ISNUMBER('Chemical Data'!P484),'Chemical Data'!P484,"")</f>
        <v>11.9</v>
      </c>
      <c r="Q141" s="4">
        <f>IF(ISNUMBER('Chemical Data'!Q484),'Chemical Data'!Q484,"")</f>
        <v>38</v>
      </c>
      <c r="R141" s="4">
        <f>IF(ISNUMBER('Chemical Data'!R484),'Chemical Data'!R484,"")</f>
        <v>37.200000000000003</v>
      </c>
      <c r="S141" s="4">
        <f>IF(ISNUMBER('Chemical Data'!S484),'Chemical Data'!S484,"")</f>
        <v>70</v>
      </c>
      <c r="T141" s="4">
        <f>IF(ISNUMBER('Chemical Data'!T484),'Chemical Data'!T484,"")</f>
        <v>42.215334356833154</v>
      </c>
      <c r="U141" s="4"/>
      <c r="V141" s="4"/>
      <c r="W141" s="4">
        <f>IF(ISNUMBER('Chemical Data'!W484),'Chemical Data'!W484,"")</f>
        <v>41.609000000000002</v>
      </c>
      <c r="X141" s="4">
        <f>IF(ISNUMBER('Chemical Data'!X484),'Chemical Data'!X484,"")</f>
        <v>41.337000000000003</v>
      </c>
      <c r="Y141" s="3">
        <f t="shared" si="103"/>
        <v>0.27199999999999847</v>
      </c>
      <c r="Z141" s="3">
        <f>IF(ISNUMBER('Chemical Data'!Z484),'Chemical Data'!Z484,"")</f>
        <v>0.5</v>
      </c>
      <c r="AA141" s="4">
        <f>IF(ISNUMBER('Chemical Data'!AA484),'Chemical Data'!AA484,"")</f>
        <v>3.4049999999999998</v>
      </c>
      <c r="AB141" s="4">
        <f>IF(ISNUMBER('Chemical Data'!AB484),'Chemical Data'!AB484,"")</f>
        <v>347.2</v>
      </c>
      <c r="AC141" s="4" t="str">
        <f>IF(ISNUMBER('Chemical Data'!AC484),'Chemical Data'!AC484,"")</f>
        <v/>
      </c>
      <c r="AD141" s="4" t="str">
        <f>IF(ISNUMBER('Chemical Data'!AD484),'Chemical Data'!AD484,"")</f>
        <v/>
      </c>
      <c r="AE141" s="4" t="str">
        <f>IF(ISNUMBER('Chemical Data'!AE484),'Chemical Data'!AE484,"")</f>
        <v/>
      </c>
      <c r="AF141" s="4" t="str">
        <f>IF(ISNUMBER('Chemical Data'!AF484),'Chemical Data'!AF484,"")</f>
        <v/>
      </c>
      <c r="AG141" s="4" t="str">
        <f>IF(ISNUMBER('Chemical Data'!AG484),'Chemical Data'!AG484,"")</f>
        <v/>
      </c>
      <c r="AH141" s="4" t="str">
        <f>IF(ISNUMBER('Chemical Data'!AH484),'Chemical Data'!AH484,"")</f>
        <v/>
      </c>
      <c r="AI141" s="4" t="str">
        <f>IF(ISNUMBER('Chemical Data'!AI484),'Chemical Data'!AI484,"")</f>
        <v/>
      </c>
      <c r="AJ141" s="4" t="str">
        <f>IF(ISNUMBER('Chemical Data'!AJ484),'Chemical Data'!AJ484,"")</f>
        <v/>
      </c>
      <c r="AK141" s="4" t="str">
        <f>IF(ISNUMBER('Chemical Data'!AK484),'Chemical Data'!AK484,"")</f>
        <v/>
      </c>
      <c r="AL141" s="4">
        <f>IF(ISNUMBER('Chemical Data'!AL484),'Chemical Data'!AL484,"")</f>
        <v>546</v>
      </c>
      <c r="AM141" s="4" t="str">
        <f>IF(ISNUMBER('Chemical Data'!AM484),'Chemical Data'!AM484,"")</f>
        <v/>
      </c>
      <c r="AN141" s="4">
        <f>IF(ISNUMBER('Chemical Data'!AN484),'Chemical Data'!AN484,"")</f>
        <v>35.783999999999999</v>
      </c>
      <c r="AO141" s="4">
        <f>IF(ISNUMBER('Chemical Data'!AO484),'Chemical Data'!AO484,"")</f>
        <v>21.270520800000003</v>
      </c>
      <c r="AP141" s="4">
        <f>IF(ISNUMBER('Chemical Data'!AP484),'Chemical Data'!AP484,"")</f>
        <v>0.25559999999999999</v>
      </c>
      <c r="AQ141" s="4">
        <f>IF(ISNUMBER('Chemical Data'!AQ484),'Chemical Data'!AQ484,"")</f>
        <v>1.7406360000000001</v>
      </c>
      <c r="AR141" s="4">
        <f>IF(ISNUMBER('Chemical Data'!AR484),'Chemical Data'!AR484,"")</f>
        <v>177.48864</v>
      </c>
      <c r="AS141" s="4">
        <f>IF(ISNUMBER('Chemical Data'!AS484),'Chemical Data'!AS484,"")</f>
        <v>19.016640000000002</v>
      </c>
    </row>
    <row r="142" spans="1:48" ht="14.25" customHeight="1" x14ac:dyDescent="0.3">
      <c r="A142" s="61">
        <v>45595</v>
      </c>
      <c r="B142" s="74">
        <v>5</v>
      </c>
      <c r="C142" s="61" t="s">
        <v>289</v>
      </c>
      <c r="D142" s="61"/>
      <c r="E142" s="61" t="s">
        <v>290</v>
      </c>
      <c r="F142" s="61"/>
      <c r="G142" s="61"/>
      <c r="H142" s="61" t="s">
        <v>218</v>
      </c>
      <c r="I142" s="74"/>
      <c r="J142" s="4">
        <f>IF(ISNUMBER('Chemical Data'!J485),'Chemical Data'!J485,"")</f>
        <v>25.91</v>
      </c>
      <c r="K142" s="4" t="s">
        <v>96</v>
      </c>
      <c r="L142" s="2">
        <f>IF(ISNUMBER('Chemical Data'!L485),'Chemical Data'!L485,"")</f>
        <v>5.64</v>
      </c>
      <c r="M142" s="43">
        <f>IF(ISNUMBER('Chemical Data'!M485),'Chemical Data'!M485,"")</f>
        <v>6.1</v>
      </c>
      <c r="N142" s="4">
        <f>IF(ISNUMBER('Chemical Data'!N485),'Chemical Data'!N485,"")</f>
        <v>679</v>
      </c>
      <c r="O142" s="4" t="str">
        <f>IF(ISNUMBER('Chemical Data'!O485),'Chemical Data'!O485,"")</f>
        <v/>
      </c>
      <c r="P142" s="4">
        <f>IF(ISNUMBER('Chemical Data'!P485),'Chemical Data'!P485,"")</f>
        <v>12</v>
      </c>
      <c r="Q142" s="4" t="str">
        <f>IF(ISNUMBER('Chemical Data'!Q485),'Chemical Data'!Q485,"")</f>
        <v/>
      </c>
      <c r="R142" s="4">
        <f>IF(ISNUMBER('Chemical Data'!R485),'Chemical Data'!R485,"")</f>
        <v>37</v>
      </c>
      <c r="S142" s="4">
        <f>IF(ISNUMBER('Chemical Data'!S485),'Chemical Data'!S485,"")</f>
        <v>67.400000000000006</v>
      </c>
      <c r="T142" s="4">
        <f>IF(ISNUMBER('Chemical Data'!T485),'Chemical Data'!T485,"")</f>
        <v>47.330353382638393</v>
      </c>
      <c r="U142" s="4"/>
      <c r="V142" s="4"/>
      <c r="W142" s="4">
        <f>IF(ISNUMBER('Chemical Data'!W485),'Chemical Data'!W485,"")</f>
        <v>42.625</v>
      </c>
      <c r="X142" s="4">
        <f>IF(ISNUMBER('Chemical Data'!X485),'Chemical Data'!X485,"")</f>
        <v>43.639000000000003</v>
      </c>
      <c r="Y142" s="3">
        <f t="shared" si="103"/>
        <v>0</v>
      </c>
      <c r="Z142" s="3">
        <f>IF(ISNUMBER('Chemical Data'!Z485),'Chemical Data'!Z485,"")</f>
        <v>0.5</v>
      </c>
      <c r="AA142" s="4">
        <f>IF(ISNUMBER('Chemical Data'!AA485),'Chemical Data'!AA485,"")</f>
        <v>3.39</v>
      </c>
      <c r="AB142" s="4">
        <f>IF(ISNUMBER('Chemical Data'!AB485),'Chemical Data'!AB485,"")</f>
        <v>382.4</v>
      </c>
      <c r="AC142" s="4" t="str">
        <f>IF(ISNUMBER('Chemical Data'!AC485),'Chemical Data'!AC485,"")</f>
        <v/>
      </c>
      <c r="AD142" s="4" t="str">
        <f>IF(ISNUMBER('Chemical Data'!AD485),'Chemical Data'!AD485,"")</f>
        <v/>
      </c>
      <c r="AE142" s="4" t="str">
        <f>IF(ISNUMBER('Chemical Data'!AE485),'Chemical Data'!AE485,"")</f>
        <v/>
      </c>
      <c r="AF142" s="4" t="str">
        <f>IF(ISNUMBER('Chemical Data'!AF485),'Chemical Data'!AF485,"")</f>
        <v/>
      </c>
      <c r="AG142" s="4" t="str">
        <f>IF(ISNUMBER('Chemical Data'!AG485),'Chemical Data'!AG485,"")</f>
        <v/>
      </c>
      <c r="AH142" s="4" t="str">
        <f>IF(ISNUMBER('Chemical Data'!AH485),'Chemical Data'!AH485,"")</f>
        <v/>
      </c>
      <c r="AI142" s="4" t="str">
        <f>IF(ISNUMBER('Chemical Data'!AI485),'Chemical Data'!AI485,"")</f>
        <v/>
      </c>
      <c r="AJ142" s="4" t="str">
        <f>IF(ISNUMBER('Chemical Data'!AJ485),'Chemical Data'!AJ485,"")</f>
        <v/>
      </c>
      <c r="AK142" s="4" t="str">
        <f>IF(ISNUMBER('Chemical Data'!AK485),'Chemical Data'!AK485,"")</f>
        <v/>
      </c>
      <c r="AL142" s="4">
        <f>IF(ISNUMBER('Chemical Data'!AL485),'Chemical Data'!AL485,"")</f>
        <v>580</v>
      </c>
      <c r="AM142" s="4" t="str">
        <f>IF(ISNUMBER('Chemical Data'!AM485),'Chemical Data'!AM485,"")</f>
        <v/>
      </c>
      <c r="AN142" s="4">
        <f>IF(ISNUMBER('Chemical Data'!AN485),'Chemical Data'!AN485,"")</f>
        <v>20.956008000000001</v>
      </c>
      <c r="AO142" s="4">
        <f>IF(ISNUMBER('Chemical Data'!AO485),'Chemical Data'!AO485,"")</f>
        <v>13.252965</v>
      </c>
      <c r="AP142" s="4">
        <f>IF(ISNUMBER('Chemical Data'!AP485),'Chemical Data'!AP485,"")</f>
        <v>0.15546000000000001</v>
      </c>
      <c r="AQ142" s="4">
        <f>IF(ISNUMBER('Chemical Data'!AQ485),'Chemical Data'!AQ485,"")</f>
        <v>1.0540188000000001</v>
      </c>
      <c r="AR142" s="4">
        <f>IF(ISNUMBER('Chemical Data'!AR485),'Chemical Data'!AR485,"")</f>
        <v>118.89580799999999</v>
      </c>
      <c r="AS142" s="4">
        <f>IF(ISNUMBER('Chemical Data'!AS485),'Chemical Data'!AS485,"")</f>
        <v>11.50404</v>
      </c>
    </row>
    <row r="143" spans="1:48" ht="14.25" customHeight="1" x14ac:dyDescent="0.3">
      <c r="A143" s="61">
        <v>45617</v>
      </c>
      <c r="B143" s="74">
        <v>3</v>
      </c>
      <c r="C143" s="61" t="s">
        <v>289</v>
      </c>
      <c r="D143" s="61"/>
      <c r="E143" s="61" t="s">
        <v>290</v>
      </c>
      <c r="F143" s="61"/>
      <c r="G143" s="61"/>
      <c r="H143" s="61" t="s">
        <v>218</v>
      </c>
      <c r="I143" s="74"/>
      <c r="J143" s="4">
        <f>IF(ISNUMBER('Chemical Data'!J486),'Chemical Data'!J486,"")</f>
        <v>23.039000000000001</v>
      </c>
      <c r="K143" s="4" t="s">
        <v>96</v>
      </c>
      <c r="L143" s="2">
        <f>IF(ISNUMBER('Chemical Data'!L486),'Chemical Data'!L486,"")</f>
        <v>6.1</v>
      </c>
      <c r="M143" s="43">
        <f>IF(ISNUMBER('Chemical Data'!M486),'Chemical Data'!M486,"")</f>
        <v>5.8</v>
      </c>
      <c r="N143" s="4">
        <f>IF(ISNUMBER('Chemical Data'!N486),'Chemical Data'!N486,"")</f>
        <v>692</v>
      </c>
      <c r="O143" s="4" t="str">
        <f>IF(ISNUMBER('Chemical Data'!O486),'Chemical Data'!O486,"")</f>
        <v/>
      </c>
      <c r="P143" s="4">
        <f>IF(ISNUMBER('Chemical Data'!P486),'Chemical Data'!P486,"")</f>
        <v>10.9</v>
      </c>
      <c r="Q143" s="4">
        <f>IF(ISNUMBER('Chemical Data'!Q486),'Chemical Data'!Q486,"")</f>
        <v>38</v>
      </c>
      <c r="R143" s="4">
        <f>IF(ISNUMBER('Chemical Data'!R486),'Chemical Data'!R486,"")</f>
        <v>35.6</v>
      </c>
      <c r="S143" s="4">
        <f>IF(ISNUMBER('Chemical Data'!S486),'Chemical Data'!S486,"")</f>
        <v>65.2</v>
      </c>
      <c r="T143" s="4">
        <f>IF(ISNUMBER('Chemical Data'!T486),'Chemical Data'!T486,"")</f>
        <v>50.302196411736212</v>
      </c>
      <c r="U143" s="4"/>
      <c r="V143" s="4"/>
      <c r="W143" s="4">
        <f>IF(ISNUMBER('Chemical Data'!W486),'Chemical Data'!W486,"")</f>
        <v>45.220999999999997</v>
      </c>
      <c r="X143" s="4">
        <f>IF(ISNUMBER('Chemical Data'!X486),'Chemical Data'!X486,"")</f>
        <v>44.392000000000003</v>
      </c>
      <c r="Y143" s="3">
        <f t="shared" si="103"/>
        <v>0.82899999999999352</v>
      </c>
      <c r="Z143" s="3">
        <f>IF(ISNUMBER('Chemical Data'!Z486),'Chemical Data'!Z486,"")</f>
        <v>0.5</v>
      </c>
      <c r="AA143" s="4">
        <f>IF(ISNUMBER('Chemical Data'!AA486),'Chemical Data'!AA486,"")</f>
        <v>3.556</v>
      </c>
      <c r="AB143" s="4">
        <f>IF(ISNUMBER('Chemical Data'!AB486),'Chemical Data'!AB486,"")</f>
        <v>374.2</v>
      </c>
      <c r="AC143" s="4" t="str">
        <f>IF(ISNUMBER('Chemical Data'!AC486),'Chemical Data'!AC486,"")</f>
        <v/>
      </c>
      <c r="AD143" s="4" t="str">
        <f>IF(ISNUMBER('Chemical Data'!AD486),'Chemical Data'!AD486,"")</f>
        <v/>
      </c>
      <c r="AE143" s="4" t="str">
        <f>IF(ISNUMBER('Chemical Data'!AE486),'Chemical Data'!AE486,"")</f>
        <v/>
      </c>
      <c r="AF143" s="4" t="str">
        <f>IF(ISNUMBER('Chemical Data'!AF486),'Chemical Data'!AF486,"")</f>
        <v/>
      </c>
      <c r="AG143" s="4" t="str">
        <f>IF(ISNUMBER('Chemical Data'!AG486),'Chemical Data'!AG486,"")</f>
        <v/>
      </c>
      <c r="AH143" s="4" t="str">
        <f>IF(ISNUMBER('Chemical Data'!AH486),'Chemical Data'!AH486,"")</f>
        <v/>
      </c>
      <c r="AI143" s="4" t="str">
        <f>IF(ISNUMBER('Chemical Data'!AI486),'Chemical Data'!AI486,"")</f>
        <v/>
      </c>
      <c r="AJ143" s="4" t="str">
        <f>IF(ISNUMBER('Chemical Data'!AJ486),'Chemical Data'!AJ486,"")</f>
        <v/>
      </c>
      <c r="AK143" s="4" t="str">
        <f>IF(ISNUMBER('Chemical Data'!AK486),'Chemical Data'!AK486,"")</f>
        <v/>
      </c>
      <c r="AL143" s="4">
        <f>IF(ISNUMBER('Chemical Data'!AL486),'Chemical Data'!AL486,"")</f>
        <v>536</v>
      </c>
      <c r="AM143" s="4" t="str">
        <f>IF(ISNUMBER('Chemical Data'!AM486),'Chemical Data'!AM486,"")</f>
        <v/>
      </c>
      <c r="AN143" s="4">
        <f>IF(ISNUMBER('Chemical Data'!AN486),'Chemical Data'!AN486,"")</f>
        <v>18.0257136</v>
      </c>
      <c r="AO143" s="4">
        <f>IF(ISNUMBER('Chemical Data'!AO486),'Chemical Data'!AO486,"")</f>
        <v>12.502159427999999</v>
      </c>
      <c r="AP143" s="4">
        <f>IF(ISNUMBER('Chemical Data'!AP486),'Chemical Data'!AP486,"")</f>
        <v>0.13823400000000002</v>
      </c>
      <c r="AQ143" s="4">
        <f>IF(ISNUMBER('Chemical Data'!AQ486),'Chemical Data'!AQ486,"")</f>
        <v>0.98312020800000011</v>
      </c>
      <c r="AR143" s="4">
        <f>IF(ISNUMBER('Chemical Data'!AR486),'Chemical Data'!AR486,"")</f>
        <v>103.45432560000002</v>
      </c>
      <c r="AS143" s="4">
        <f>IF(ISNUMBER('Chemical Data'!AS486),'Chemical Data'!AS486,"")</f>
        <v>9.8422608000000018</v>
      </c>
    </row>
    <row r="144" spans="1:48" ht="14.25" customHeight="1" x14ac:dyDescent="0.3">
      <c r="A144" s="61">
        <v>45644</v>
      </c>
      <c r="B144" s="74">
        <v>3</v>
      </c>
      <c r="C144" s="61" t="s">
        <v>289</v>
      </c>
      <c r="D144" s="61"/>
      <c r="E144" s="61" t="s">
        <v>290</v>
      </c>
      <c r="F144" s="61"/>
      <c r="G144" s="61"/>
      <c r="H144" s="61" t="s">
        <v>218</v>
      </c>
      <c r="I144" s="74"/>
      <c r="J144" s="4">
        <f>IF(ISNUMBER('Chemical Data'!J487),'Chemical Data'!J487,"")</f>
        <v>30</v>
      </c>
      <c r="K144" s="4" t="s">
        <v>96</v>
      </c>
      <c r="L144" s="2">
        <f>IF(ISNUMBER('Chemical Data'!L487),'Chemical Data'!L487,"")</f>
        <v>5.95</v>
      </c>
      <c r="M144" s="43">
        <f>IF(ISNUMBER('Chemical Data'!M487),'Chemical Data'!M487,"")</f>
        <v>5.6</v>
      </c>
      <c r="N144" s="4">
        <f>IF(ISNUMBER('Chemical Data'!N487),'Chemical Data'!N487,"")</f>
        <v>683</v>
      </c>
      <c r="O144" s="4" t="str">
        <f>IF(ISNUMBER('Chemical Data'!O487),'Chemical Data'!O487,"")</f>
        <v/>
      </c>
      <c r="P144" s="4" t="str">
        <f>IF(ISNUMBER('Chemical Data'!P487),'Chemical Data'!P487,"")</f>
        <v/>
      </c>
      <c r="Q144" s="4" t="str">
        <f>IF(ISNUMBER('Chemical Data'!Q487),'Chemical Data'!Q487,"")</f>
        <v/>
      </c>
      <c r="R144" s="4">
        <f>IF(ISNUMBER('Chemical Data'!R487),'Chemical Data'!R487,"")</f>
        <v>18.399999999999999</v>
      </c>
      <c r="S144" s="4">
        <f>IF(ISNUMBER('Chemical Data'!S487),'Chemical Data'!S487,"")</f>
        <v>60.4</v>
      </c>
      <c r="T144" s="4">
        <f>IF(ISNUMBER('Chemical Data'!T487),'Chemical Data'!T487,"")</f>
        <v>64.81910432157548</v>
      </c>
      <c r="U144" s="4"/>
      <c r="V144" s="4"/>
      <c r="W144" s="4">
        <f>IF(ISNUMBER('Chemical Data'!W487),'Chemical Data'!W487,"")</f>
        <v>42.097000000000001</v>
      </c>
      <c r="X144" s="4">
        <f>IF(ISNUMBER('Chemical Data'!X487),'Chemical Data'!X487,"")</f>
        <v>43.009</v>
      </c>
      <c r="Y144" s="3">
        <f t="shared" ref="Y144" si="104">IF(W144-X144&lt;0,0,W144-X144)</f>
        <v>0</v>
      </c>
      <c r="Z144" s="3">
        <f>IF(ISNUMBER('Chemical Data'!Z487),'Chemical Data'!Z487,"")</f>
        <v>0.5</v>
      </c>
      <c r="AA144" s="4">
        <f>IF(ISNUMBER('Chemical Data'!AA487),'Chemical Data'!AA487,"")</f>
        <v>3.3929999999999998</v>
      </c>
      <c r="AB144" s="4">
        <f>IF(ISNUMBER('Chemical Data'!AB487),'Chemical Data'!AB487,"")</f>
        <v>1004.8</v>
      </c>
      <c r="AC144" s="4" t="str">
        <f>IF(ISNUMBER('Chemical Data'!AC487),'Chemical Data'!AC487,"")</f>
        <v/>
      </c>
      <c r="AD144" s="4" t="str">
        <f>IF(ISNUMBER('Chemical Data'!AD487),'Chemical Data'!AD487,"")</f>
        <v/>
      </c>
      <c r="AE144" s="4" t="str">
        <f>IF(ISNUMBER('Chemical Data'!AE487),'Chemical Data'!AE487,"")</f>
        <v/>
      </c>
      <c r="AF144" s="4" t="str">
        <f>IF(ISNUMBER('Chemical Data'!AF487),'Chemical Data'!AF487,"")</f>
        <v/>
      </c>
      <c r="AG144" s="4" t="str">
        <f>IF(ISNUMBER('Chemical Data'!AG487),'Chemical Data'!AG487,"")</f>
        <v/>
      </c>
      <c r="AH144" s="4" t="str">
        <f>IF(ISNUMBER('Chemical Data'!AH487),'Chemical Data'!AH487,"")</f>
        <v/>
      </c>
      <c r="AI144" s="4" t="str">
        <f>IF(ISNUMBER('Chemical Data'!AI487),'Chemical Data'!AI487,"")</f>
        <v/>
      </c>
      <c r="AJ144" s="4" t="str">
        <f>IF(ISNUMBER('Chemical Data'!AJ487),'Chemical Data'!AJ487,"")</f>
        <v/>
      </c>
      <c r="AK144" s="4" t="str">
        <f>IF(ISNUMBER('Chemical Data'!AK487),'Chemical Data'!AK487,"")</f>
        <v/>
      </c>
      <c r="AL144" s="4">
        <f>IF(ISNUMBER('Chemical Data'!AL487),'Chemical Data'!AL487,"")</f>
        <v>594</v>
      </c>
      <c r="AM144" s="4" t="str">
        <f>IF(ISNUMBER('Chemical Data'!AM487),'Chemical Data'!AM487,"")</f>
        <v/>
      </c>
      <c r="AN144" s="4">
        <f>IF(ISNUMBER('Chemical Data'!AN487),'Chemical Data'!AN487,"")</f>
        <v>21.744</v>
      </c>
      <c r="AO144" s="4">
        <f>IF(ISNUMBER('Chemical Data'!AO487),'Chemical Data'!AO487,"")</f>
        <v>15.154920000000001</v>
      </c>
      <c r="AP144" s="4">
        <f>IF(ISNUMBER('Chemical Data'!AP487),'Chemical Data'!AP487,"")</f>
        <v>0.18</v>
      </c>
      <c r="AQ144" s="4">
        <f>IF(ISNUMBER('Chemical Data'!AQ487),'Chemical Data'!AQ487,"")</f>
        <v>1.2214799999999999</v>
      </c>
      <c r="AR144" s="4">
        <f>IF(ISNUMBER('Chemical Data'!AR487),'Chemical Data'!AR487,"")</f>
        <v>361.72800000000001</v>
      </c>
      <c r="AS144" s="4">
        <f>IF(ISNUMBER('Chemical Data'!AS487),'Chemical Data'!AS487,"")</f>
        <v>6.6239999999999997</v>
      </c>
    </row>
    <row r="145" spans="1:48" ht="14.25" customHeight="1" x14ac:dyDescent="0.3">
      <c r="A145" s="61">
        <v>45687</v>
      </c>
      <c r="B145" s="74">
        <v>3</v>
      </c>
      <c r="C145" s="61" t="s">
        <v>289</v>
      </c>
      <c r="D145" s="61"/>
      <c r="E145" s="61" t="s">
        <v>290</v>
      </c>
      <c r="F145" s="61"/>
      <c r="G145" s="61"/>
      <c r="H145" s="61" t="s">
        <v>218</v>
      </c>
      <c r="I145" s="74"/>
      <c r="J145" s="4">
        <f>IF(ISNUMBER('Chemical Data'!J488),'Chemical Data'!J488,"")</f>
        <v>35.6</v>
      </c>
      <c r="K145" s="4" t="s">
        <v>96</v>
      </c>
      <c r="L145" s="2">
        <f>IF(ISNUMBER('Chemical Data'!L488),'Chemical Data'!L488,"")</f>
        <v>6.14</v>
      </c>
      <c r="M145" s="43">
        <f>IF(ISNUMBER('Chemical Data'!M488),'Chemical Data'!M488,"")</f>
        <v>5.6</v>
      </c>
      <c r="N145" s="4">
        <f>IF(ISNUMBER('Chemical Data'!N488),'Chemical Data'!N488,"")</f>
        <v>689</v>
      </c>
      <c r="O145" s="4" t="str">
        <f>IF(ISNUMBER('Chemical Data'!O488),'Chemical Data'!O488,"")</f>
        <v/>
      </c>
      <c r="P145" s="4">
        <f>IF(ISNUMBER('Chemical Data'!P488),'Chemical Data'!P488,"")</f>
        <v>9.6</v>
      </c>
      <c r="Q145" s="4">
        <f>IF(ISNUMBER('Chemical Data'!Q488),'Chemical Data'!Q488,"")</f>
        <v>33</v>
      </c>
      <c r="R145" s="4">
        <f>IF(ISNUMBER('Chemical Data'!R488),'Chemical Data'!R488,"")</f>
        <v>18.2</v>
      </c>
      <c r="S145" s="4">
        <f>IF(ISNUMBER('Chemical Data'!S488),'Chemical Data'!S488,"")</f>
        <v>67.2</v>
      </c>
      <c r="T145" s="4">
        <f>IF(ISNUMBER('Chemical Data'!T488),'Chemical Data'!T488,"")</f>
        <v>68.377404321575483</v>
      </c>
      <c r="U145" s="4"/>
      <c r="V145" s="4"/>
      <c r="W145" s="4">
        <f>IF(ISNUMBER('Chemical Data'!W488),'Chemical Data'!W488,"")</f>
        <v>44.408999999999999</v>
      </c>
      <c r="X145" s="4">
        <f>IF(ISNUMBER('Chemical Data'!X488),'Chemical Data'!X488,"")</f>
        <v>44.679000000000002</v>
      </c>
      <c r="Y145" s="3">
        <f t="shared" ref="Y145" si="105">IF(W145-X145&lt;0,0,W145-X145)</f>
        <v>0</v>
      </c>
      <c r="Z145" s="3">
        <f>IF(ISNUMBER('Chemical Data'!Z488),'Chemical Data'!Z488,"")</f>
        <v>0.5</v>
      </c>
      <c r="AA145" s="4">
        <f>IF(ISNUMBER('Chemical Data'!AA488),'Chemical Data'!AA488,"")</f>
        <v>3.5979999999999999</v>
      </c>
      <c r="AB145" s="4">
        <f>IF(ISNUMBER('Chemical Data'!AB488),'Chemical Data'!AB488,"")</f>
        <v>342.6</v>
      </c>
      <c r="AC145" s="4" t="str">
        <f>IF(ISNUMBER('Chemical Data'!AC488),'Chemical Data'!AC488,"")</f>
        <v/>
      </c>
      <c r="AD145" s="4" t="str">
        <f>IF(ISNUMBER('Chemical Data'!AD488),'Chemical Data'!AD488,"")</f>
        <v/>
      </c>
      <c r="AE145" s="4" t="str">
        <f>IF(ISNUMBER('Chemical Data'!AE488),'Chemical Data'!AE488,"")</f>
        <v/>
      </c>
      <c r="AF145" s="4" t="str">
        <f>IF(ISNUMBER('Chemical Data'!AF488),'Chemical Data'!AF488,"")</f>
        <v/>
      </c>
      <c r="AG145" s="4" t="str">
        <f>IF(ISNUMBER('Chemical Data'!AG488),'Chemical Data'!AG488,"")</f>
        <v/>
      </c>
      <c r="AH145" s="4" t="str">
        <f>IF(ISNUMBER('Chemical Data'!AH488),'Chemical Data'!AH488,"")</f>
        <v/>
      </c>
      <c r="AI145" s="4" t="str">
        <f>IF(ISNUMBER('Chemical Data'!AI488),'Chemical Data'!AI488,"")</f>
        <v/>
      </c>
      <c r="AJ145" s="4" t="str">
        <f>IF(ISNUMBER('Chemical Data'!AJ488),'Chemical Data'!AJ488,"")</f>
        <v/>
      </c>
      <c r="AK145" s="4" t="str">
        <f>IF(ISNUMBER('Chemical Data'!AK488),'Chemical Data'!AK488,"")</f>
        <v/>
      </c>
      <c r="AL145" s="4">
        <f>IF(ISNUMBER('Chemical Data'!AL488),'Chemical Data'!AL488,"")</f>
        <v>560</v>
      </c>
      <c r="AM145" s="4" t="str">
        <f>IF(ISNUMBER('Chemical Data'!AM488),'Chemical Data'!AM488,"")</f>
        <v/>
      </c>
      <c r="AN145" s="4">
        <f>IF(ISNUMBER('Chemical Data'!AN488),'Chemical Data'!AN488,"")</f>
        <v>28.707840000000001</v>
      </c>
      <c r="AO145" s="4">
        <f>IF(ISNUMBER('Chemical Data'!AO488),'Chemical Data'!AO488,"")</f>
        <v>18.971524800000001</v>
      </c>
      <c r="AP145" s="4">
        <f>IF(ISNUMBER('Chemical Data'!AP488),'Chemical Data'!AP488,"")</f>
        <v>0.21360000000000001</v>
      </c>
      <c r="AQ145" s="4">
        <f>IF(ISNUMBER('Chemical Data'!AQ488),'Chemical Data'!AQ488,"")</f>
        <v>1.5370656</v>
      </c>
      <c r="AR145" s="4">
        <f>IF(ISNUMBER('Chemical Data'!AR488),'Chemical Data'!AR488,"")</f>
        <v>146.35872000000001</v>
      </c>
      <c r="AS145" s="4">
        <f>IF(ISNUMBER('Chemical Data'!AS488),'Chemical Data'!AS488,"")</f>
        <v>7.7750399999999997</v>
      </c>
    </row>
    <row r="146" spans="1:48" s="7" customFormat="1" x14ac:dyDescent="0.3">
      <c r="A146" s="45" t="s">
        <v>144</v>
      </c>
      <c r="J146" s="20">
        <f>AVERAGE(J133:J145)</f>
        <v>31.013617538461542</v>
      </c>
      <c r="K146" s="20"/>
      <c r="L146" s="50">
        <f t="shared" ref="L146:T146" si="106">AVERAGE(L133:L145)</f>
        <v>5.8430769230769224</v>
      </c>
      <c r="M146" s="50">
        <f t="shared" si="106"/>
        <v>5.8076923076923066</v>
      </c>
      <c r="N146" s="20">
        <f t="shared" si="106"/>
        <v>681.53846153846155</v>
      </c>
      <c r="O146" s="20">
        <f t="shared" si="106"/>
        <v>701</v>
      </c>
      <c r="P146" s="20">
        <f t="shared" si="106"/>
        <v>10.860000000000001</v>
      </c>
      <c r="Q146" s="20">
        <f t="shared" si="106"/>
        <v>34.428571428571431</v>
      </c>
      <c r="R146" s="20">
        <f t="shared" si="106"/>
        <v>30.676923076923078</v>
      </c>
      <c r="S146" s="20">
        <f t="shared" si="106"/>
        <v>60.830769230769235</v>
      </c>
      <c r="T146" s="20">
        <f t="shared" si="106"/>
        <v>47.26402438741939</v>
      </c>
      <c r="U146" s="20"/>
      <c r="V146" s="20"/>
      <c r="W146" s="20">
        <f t="shared" ref="W146:AL146" si="107">AVERAGE(W133:W145)</f>
        <v>42.761923076923075</v>
      </c>
      <c r="X146" s="20">
        <f t="shared" si="107"/>
        <v>40.882307692307691</v>
      </c>
      <c r="Y146" s="20">
        <f t="shared" si="107"/>
        <v>2.0984615384615375</v>
      </c>
      <c r="Z146" s="20">
        <f t="shared" si="107"/>
        <v>0.46923076923076923</v>
      </c>
      <c r="AA146" s="20">
        <f t="shared" si="107"/>
        <v>3.4422307692307688</v>
      </c>
      <c r="AB146" s="20">
        <f t="shared" si="107"/>
        <v>395.90000000000003</v>
      </c>
      <c r="AC146" s="20">
        <f t="shared" si="107"/>
        <v>73.75</v>
      </c>
      <c r="AD146" s="20">
        <f t="shared" si="107"/>
        <v>30.65</v>
      </c>
      <c r="AE146" s="20">
        <f t="shared" si="107"/>
        <v>2.8499999999999996</v>
      </c>
      <c r="AF146" s="20">
        <f t="shared" si="107"/>
        <v>2.2450000000000001</v>
      </c>
      <c r="AG146" s="20">
        <f t="shared" si="107"/>
        <v>4</v>
      </c>
      <c r="AH146" s="20">
        <f t="shared" si="107"/>
        <v>0.05</v>
      </c>
      <c r="AI146" s="20">
        <f t="shared" si="107"/>
        <v>3.3000000000000002E-2</v>
      </c>
      <c r="AJ146" s="20">
        <f t="shared" si="107"/>
        <v>0.2</v>
      </c>
      <c r="AK146" s="20">
        <f t="shared" si="107"/>
        <v>36</v>
      </c>
      <c r="AL146" s="20">
        <f t="shared" si="107"/>
        <v>563.4</v>
      </c>
      <c r="AM146" s="20"/>
      <c r="AN146" s="20">
        <f t="shared" ref="AN146:AS146" si="108">AVERAGE(AN133:AN145)</f>
        <v>22.459325502276918</v>
      </c>
      <c r="AO146" s="20">
        <f t="shared" si="108"/>
        <v>15.782641773079385</v>
      </c>
      <c r="AP146" s="20">
        <f t="shared" si="108"/>
        <v>0.17771862830769231</v>
      </c>
      <c r="AQ146" s="20">
        <f t="shared" si="108"/>
        <v>1.2812893910400001</v>
      </c>
      <c r="AR146" s="20">
        <f t="shared" si="108"/>
        <v>136.99498516430768</v>
      </c>
      <c r="AS146" s="20">
        <f t="shared" si="108"/>
        <v>11.503412761846151</v>
      </c>
      <c r="AT146" s="20"/>
      <c r="AU146" s="20"/>
      <c r="AV146" s="20"/>
    </row>
    <row r="147" spans="1:48" ht="14.25" customHeight="1" x14ac:dyDescent="0.3">
      <c r="A147" s="61"/>
      <c r="B147" s="61"/>
      <c r="C147" s="61"/>
      <c r="D147" s="61"/>
      <c r="E147" s="61"/>
      <c r="F147" s="61"/>
      <c r="G147" s="61"/>
      <c r="H147" s="61"/>
      <c r="I147" s="74"/>
      <c r="J147" s="4"/>
      <c r="K147" s="4"/>
      <c r="L147" s="2"/>
      <c r="M147" s="2"/>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1"/>
    </row>
    <row r="148" spans="1:48" ht="14.25" customHeight="1" x14ac:dyDescent="0.3">
      <c r="A148" s="61">
        <v>45352</v>
      </c>
      <c r="B148" s="74">
        <v>5</v>
      </c>
      <c r="C148" s="61" t="s">
        <v>353</v>
      </c>
      <c r="D148" s="61"/>
      <c r="E148" s="61" t="s">
        <v>354</v>
      </c>
      <c r="F148" s="61"/>
      <c r="G148" s="61"/>
      <c r="H148" s="61" t="s">
        <v>338</v>
      </c>
      <c r="I148" s="74"/>
      <c r="J148" s="4">
        <f>J135+J120</f>
        <v>109.14908399999999</v>
      </c>
      <c r="K148" s="4" t="s">
        <v>96</v>
      </c>
      <c r="L148" s="2">
        <v>6.16</v>
      </c>
      <c r="M148" s="2">
        <v>5.8</v>
      </c>
      <c r="N148" s="4">
        <v>672</v>
      </c>
      <c r="O148" s="4"/>
      <c r="P148" s="4">
        <v>10.3</v>
      </c>
      <c r="Q148" s="4"/>
      <c r="R148" s="4">
        <v>39</v>
      </c>
      <c r="S148" s="4">
        <v>48.6</v>
      </c>
      <c r="T148" s="4" cm="1">
        <f t="array" ref="T148">_xlfn.IFS(L148&lt;=5,IF(ISNUMBER(X148)=TRUE,X148*1.79+AA148*1.8+Z148*5.56+50000*(10^-L148)-R148,1.79+AA148*1.8+Z148*5.56+50000*(10^-L148)-R148),L148&gt;5,IF(ISNUMBER(X148)=TRUE,X148*1.79+AA148*1.8+50000*(10^-L148)-R148,AA148*1.8+50000*(10^-L148)-R148))</f>
        <v>39.013341548545952</v>
      </c>
      <c r="U148" s="4"/>
      <c r="V148" s="4"/>
      <c r="W148" s="4">
        <v>42.887</v>
      </c>
      <c r="X148" s="4">
        <v>40.225000000000001</v>
      </c>
      <c r="Y148" s="3">
        <f>IF(W148-X148&lt;0,0,W148-X148)</f>
        <v>2.661999999999999</v>
      </c>
      <c r="Z148" s="52">
        <v>0.5</v>
      </c>
      <c r="AA148" s="3">
        <v>3.32</v>
      </c>
      <c r="AB148" s="4">
        <v>326</v>
      </c>
      <c r="AC148" s="4"/>
      <c r="AD148" s="4"/>
      <c r="AE148" s="4"/>
      <c r="AF148" s="4"/>
      <c r="AG148" s="4"/>
      <c r="AH148" s="4"/>
      <c r="AI148" s="4"/>
      <c r="AJ148" s="4"/>
      <c r="AK148" s="4" t="s">
        <v>363</v>
      </c>
      <c r="AL148" s="4">
        <v>548</v>
      </c>
      <c r="AM148" s="4"/>
      <c r="AN148" s="1">
        <f>S148*J148*0.012</f>
        <v>63.65574578879999</v>
      </c>
      <c r="AO148" s="1">
        <f>W148*J148*0.012</f>
        <v>56.172921186095998</v>
      </c>
      <c r="AP148" s="1">
        <f>Z148*J148*0.012</f>
        <v>0.65489450399999993</v>
      </c>
      <c r="AQ148" s="1">
        <f>AA148*J148*0.012</f>
        <v>4.3484995065599996</v>
      </c>
      <c r="AR148" s="1">
        <f>AB148*J148*0.012</f>
        <v>426.99121660799995</v>
      </c>
      <c r="AS148" s="1">
        <f t="shared" si="17"/>
        <v>51.081771311999994</v>
      </c>
    </row>
    <row r="149" spans="1:48" ht="14.25" customHeight="1" x14ac:dyDescent="0.3">
      <c r="A149" s="61"/>
      <c r="B149" s="61"/>
      <c r="C149" s="61"/>
      <c r="D149" s="61"/>
      <c r="E149" s="61"/>
      <c r="F149" s="61"/>
      <c r="G149" s="61"/>
      <c r="H149" s="61"/>
      <c r="I149" s="74"/>
      <c r="J149" s="4"/>
      <c r="K149" s="4"/>
      <c r="L149" s="2"/>
      <c r="M149" s="2"/>
      <c r="N149" s="4"/>
      <c r="O149" s="4"/>
      <c r="P149" s="4"/>
      <c r="Q149" s="4"/>
      <c r="R149" s="4"/>
      <c r="S149" s="4"/>
      <c r="T149" s="4"/>
      <c r="U149" s="4"/>
      <c r="V149" s="4"/>
      <c r="W149" s="4"/>
      <c r="X149" s="4"/>
      <c r="Y149" s="3"/>
      <c r="Z149" s="4"/>
      <c r="AA149" s="4"/>
      <c r="AB149" s="4"/>
      <c r="AC149" s="4"/>
      <c r="AD149" s="4"/>
      <c r="AE149" s="4"/>
      <c r="AF149" s="4"/>
      <c r="AG149" s="4"/>
      <c r="AH149" s="4"/>
      <c r="AI149" s="4"/>
      <c r="AJ149" s="4"/>
      <c r="AK149" s="4"/>
      <c r="AL149" s="4"/>
      <c r="AM149" s="4"/>
      <c r="AN149" s="4"/>
      <c r="AO149" s="4"/>
      <c r="AP149" s="4"/>
      <c r="AQ149" s="4"/>
      <c r="AR149" s="4"/>
      <c r="AS149" s="1"/>
    </row>
    <row r="150" spans="1:48" ht="14.25" customHeight="1" x14ac:dyDescent="0.3">
      <c r="A150" s="61">
        <f>'Chemical Data'!A490</f>
        <v>45098</v>
      </c>
      <c r="B150" s="61" t="str">
        <f>'Chemical Data'!B490</f>
        <v>029</v>
      </c>
      <c r="C150" s="61" t="str">
        <f>'Chemical Data'!C490</f>
        <v>PD4</v>
      </c>
      <c r="D150" s="61"/>
      <c r="E150" s="61" t="str">
        <f>'Chemical Data'!E490</f>
        <v>Penn Run AMD -4 South side</v>
      </c>
      <c r="F150" s="61"/>
      <c r="G150" s="61"/>
      <c r="H150" s="61" t="str">
        <f>'Chemical Data'!H490</f>
        <v>Hedin</v>
      </c>
      <c r="I150" s="74"/>
      <c r="J150" s="4">
        <f>IF(ISNUMBER('Chemical Data'!J490),'Chemical Data'!J490,"")</f>
        <v>10.7</v>
      </c>
      <c r="K150" s="4" t="s">
        <v>96</v>
      </c>
      <c r="L150" s="2">
        <f>IF(ISNUMBER('Chemical Data'!L490),'Chemical Data'!L490,"")</f>
        <v>3.5</v>
      </c>
      <c r="M150" s="2">
        <f>IF(ISNUMBER('Chemical Data'!M490),'Chemical Data'!M490,"")</f>
        <v>3.5</v>
      </c>
      <c r="N150" s="4">
        <f>IF(ISNUMBER('Chemical Data'!N490),'Chemical Data'!N490,"")</f>
        <v>429</v>
      </c>
      <c r="O150" s="4">
        <f>IF(ISNUMBER('Chemical Data'!O490),'Chemical Data'!O490,"")</f>
        <v>438</v>
      </c>
      <c r="P150" s="4">
        <f>IF(ISNUMBER('Chemical Data'!P490),'Chemical Data'!P490,"")</f>
        <v>10.199999999999999</v>
      </c>
      <c r="Q150" s="4">
        <f>IF(ISNUMBER('Chemical Data'!Q490),'Chemical Data'!Q490,"")</f>
        <v>0</v>
      </c>
      <c r="R150" s="4">
        <f>IF(ISNUMBER('Chemical Data'!R490),'Chemical Data'!R490,"")</f>
        <v>0</v>
      </c>
      <c r="S150" s="4">
        <f>IF(ISNUMBER('Chemical Data'!S490),'Chemical Data'!S490,"")</f>
        <v>60.4</v>
      </c>
      <c r="T150" s="4">
        <f>IF(ISNUMBER('Chemical Data'!T490),'Chemical Data'!T490,"")</f>
        <v>50.520618300841889</v>
      </c>
      <c r="U150" s="4"/>
      <c r="V150" s="4"/>
      <c r="W150" s="3">
        <f>IF(ISNUMBER('Chemical Data'!W490),'Chemical Data'!W490,"")</f>
        <v>0.38800000000000001</v>
      </c>
      <c r="X150" s="3">
        <f>IF(ISNUMBER('Chemical Data'!X490),'Chemical Data'!X490,"")</f>
        <v>0.13700000000000001</v>
      </c>
      <c r="Y150" s="3">
        <f t="shared" ref="Y150:Y156" si="109">IF(W150-X150&lt;0,0,W150-X150)</f>
        <v>0.251</v>
      </c>
      <c r="Z150" s="3">
        <f>IF(ISNUMBER('Chemical Data'!Z490),'Chemical Data'!Z490,"")</f>
        <v>5.7</v>
      </c>
      <c r="AA150" s="3">
        <f>IF(ISNUMBER('Chemical Data'!AA490),'Chemical Data'!AA490,"")</f>
        <v>1.54</v>
      </c>
      <c r="AB150" s="4" t="str">
        <f>IF(ISNUMBER('Chemical Data'!AB490),'Chemical Data'!AB490,"")</f>
        <v/>
      </c>
      <c r="AC150" s="4">
        <f>IF(ISNUMBER('Chemical Data'!AC490),'Chemical Data'!AC490,"")</f>
        <v>32.1</v>
      </c>
      <c r="AD150" s="4">
        <f>IF(ISNUMBER('Chemical Data'!AD490),'Chemical Data'!AD490,"")</f>
        <v>12.6</v>
      </c>
      <c r="AE150" s="4">
        <f>IF(ISNUMBER('Chemical Data'!AE490),'Chemical Data'!AE490,"")</f>
        <v>2.37</v>
      </c>
      <c r="AF150" s="4">
        <f>IF(ISNUMBER('Chemical Data'!AF490),'Chemical Data'!AF490,"")</f>
        <v>2.08</v>
      </c>
      <c r="AG150" s="4">
        <f>IF(ISNUMBER('Chemical Data'!AG490),'Chemical Data'!AG490,"")</f>
        <v>5.4</v>
      </c>
      <c r="AH150" s="4">
        <f>IF(ISNUMBER('Chemical Data'!AH490),'Chemical Data'!AH490,"")</f>
        <v>6.2E-2</v>
      </c>
      <c r="AI150" s="4">
        <f>IF(ISNUMBER('Chemical Data'!AI490),'Chemical Data'!AI490,"")</f>
        <v>0.128</v>
      </c>
      <c r="AJ150" s="4">
        <f>IF(ISNUMBER('Chemical Data'!AJ490),'Chemical Data'!AJ490,"")</f>
        <v>0.2</v>
      </c>
      <c r="AK150" s="4"/>
      <c r="AL150" s="4"/>
      <c r="AM150" s="4" t="str">
        <f>IF(ISNUMBER('Chemical Data'!AM490),'Chemical Data'!AM490,"")</f>
        <v/>
      </c>
      <c r="AN150" s="4">
        <f>IF(ISNUMBER('Chemical Data'!AN490),'Chemical Data'!AN490,"")</f>
        <v>7.7553599999999996</v>
      </c>
      <c r="AO150" s="4">
        <f>IF(ISNUMBER('Chemical Data'!AO490),'Chemical Data'!AO490,"")</f>
        <v>4.9819200000000001E-2</v>
      </c>
      <c r="AP150" s="4">
        <f>IF(ISNUMBER('Chemical Data'!AP490),'Chemical Data'!AP490,"")</f>
        <v>0.73187999999999998</v>
      </c>
      <c r="AQ150" s="4">
        <f>IF(ISNUMBER('Chemical Data'!AQ490),'Chemical Data'!AQ490,"")</f>
        <v>0.19773599999999997</v>
      </c>
      <c r="AR150" s="4">
        <f>IF(ISNUMBER('Chemical Data'!AR490),'Chemical Data'!AR490,"")</f>
        <v>0</v>
      </c>
      <c r="AS150" s="1">
        <f t="shared" si="17"/>
        <v>0</v>
      </c>
    </row>
    <row r="151" spans="1:48" ht="14.25" customHeight="1" x14ac:dyDescent="0.3">
      <c r="A151" s="61">
        <f>'Chemical Data'!A491</f>
        <v>45169</v>
      </c>
      <c r="B151" s="61" t="str">
        <f>'Chemical Data'!B491</f>
        <v>015</v>
      </c>
      <c r="C151" s="61" t="str">
        <f>'Chemical Data'!C491</f>
        <v>PD4</v>
      </c>
      <c r="D151" s="61"/>
      <c r="E151" s="61" t="str">
        <f>'Chemical Data'!E491</f>
        <v>Penn Run AMD -4 South side</v>
      </c>
      <c r="F151" s="61"/>
      <c r="G151" s="61"/>
      <c r="H151" s="61" t="str">
        <f>'Chemical Data'!H491</f>
        <v>SFU</v>
      </c>
      <c r="I151" s="74">
        <v>1.9390000000000001</v>
      </c>
      <c r="J151" s="4">
        <f>IF(ISNUMBER('Chemical Data'!J491),'Chemical Data'!J491,"")</f>
        <v>12.7</v>
      </c>
      <c r="K151" s="4" t="s">
        <v>96</v>
      </c>
      <c r="L151" s="2">
        <f>IF(ISNUMBER('Chemical Data'!L491),'Chemical Data'!L491,"")</f>
        <v>3.3</v>
      </c>
      <c r="M151" s="2">
        <f>IF(ISNUMBER('Chemical Data'!M491),'Chemical Data'!M491,"")</f>
        <v>3.5</v>
      </c>
      <c r="N151" s="4">
        <f>IF(ISNUMBER('Chemical Data'!N491),'Chemical Data'!N491,"")</f>
        <v>480.7</v>
      </c>
      <c r="O151" s="4">
        <f>IF(ISNUMBER('Chemical Data'!O491),'Chemical Data'!O491,"")</f>
        <v>418</v>
      </c>
      <c r="P151" s="4" t="str">
        <f>IF(ISNUMBER('Chemical Data'!P491),'Chemical Data'!P491,"")</f>
        <v/>
      </c>
      <c r="Q151" s="4">
        <f>IF(ISNUMBER('Chemical Data'!Q491),'Chemical Data'!Q491,"")</f>
        <v>0</v>
      </c>
      <c r="R151" s="4">
        <f>IF(ISNUMBER('Chemical Data'!R491),'Chemical Data'!R491,"")</f>
        <v>0</v>
      </c>
      <c r="S151" s="4">
        <f>IF(ISNUMBER('Chemical Data'!S491),'Chemical Data'!S491,"")</f>
        <v>72.2</v>
      </c>
      <c r="T151" s="4">
        <f>IF(ISNUMBER('Chemical Data'!T491),'Chemical Data'!T491,"")</f>
        <v>56.423371681363605</v>
      </c>
      <c r="U151" s="4"/>
      <c r="V151" s="4"/>
      <c r="W151" s="3">
        <f>IF(ISNUMBER('Chemical Data'!W491),'Chemical Data'!W491,"")</f>
        <v>2.17</v>
      </c>
      <c r="X151" s="3">
        <f>IF(ISNUMBER('Chemical Data'!X491),'Chemical Data'!X491,"")</f>
        <v>9.9000000000000005E-2</v>
      </c>
      <c r="Y151" s="3">
        <f t="shared" si="109"/>
        <v>2.0709999999999997</v>
      </c>
      <c r="Z151" s="3">
        <f>IF(ISNUMBER('Chemical Data'!Z491),'Chemical Data'!Z491,"")</f>
        <v>5.13</v>
      </c>
      <c r="AA151" s="3">
        <f>IF(ISNUMBER('Chemical Data'!AA491),'Chemical Data'!AA491,"")</f>
        <v>1.48</v>
      </c>
      <c r="AB151" s="4">
        <f>IF(ISNUMBER('Chemical Data'!AB491),'Chemical Data'!AB491,"")</f>
        <v>161</v>
      </c>
      <c r="AC151" s="4">
        <f>IF(ISNUMBER('Chemical Data'!AC491),'Chemical Data'!AC491,"")</f>
        <v>32.799999999999997</v>
      </c>
      <c r="AD151" s="4">
        <f>IF(ISNUMBER('Chemical Data'!AD491),'Chemical Data'!AD491,"")</f>
        <v>12.5</v>
      </c>
      <c r="AE151" s="4">
        <f>IF(ISNUMBER('Chemical Data'!AE491),'Chemical Data'!AE491,"")</f>
        <v>1.86</v>
      </c>
      <c r="AF151" s="4">
        <f>IF(ISNUMBER('Chemical Data'!AF491),'Chemical Data'!AF491,"")</f>
        <v>2.11</v>
      </c>
      <c r="AG151" s="4">
        <f>IF(ISNUMBER('Chemical Data'!AG491),'Chemical Data'!AG491,"")</f>
        <v>5.8</v>
      </c>
      <c r="AH151" s="4">
        <f>IF(ISNUMBER('Chemical Data'!AH491),'Chemical Data'!AH491,"")</f>
        <v>6.6000000000000003E-2</v>
      </c>
      <c r="AI151" s="4">
        <f>IF(ISNUMBER('Chemical Data'!AI491),'Chemical Data'!AI491,"")</f>
        <v>0.14000000000000001</v>
      </c>
      <c r="AJ151" s="4">
        <f>IF(ISNUMBER('Chemical Data'!AJ491),'Chemical Data'!AJ491,"")</f>
        <v>0.2</v>
      </c>
      <c r="AK151" s="4"/>
      <c r="AL151" s="4"/>
      <c r="AM151" s="4" t="str">
        <f>IF(ISNUMBER('Chemical Data'!AM491),'Chemical Data'!AM491,"")</f>
        <v/>
      </c>
      <c r="AN151" s="4">
        <f>IF(ISNUMBER('Chemical Data'!AN491),'Chemical Data'!AN491,"")</f>
        <v>11.00328</v>
      </c>
      <c r="AO151" s="4">
        <f>IF(ISNUMBER('Chemical Data'!AO491),'Chemical Data'!AO491,"")</f>
        <v>0.330708</v>
      </c>
      <c r="AP151" s="4">
        <f>IF(ISNUMBER('Chemical Data'!AP491),'Chemical Data'!AP491,"")</f>
        <v>0.78181199999999995</v>
      </c>
      <c r="AQ151" s="4">
        <f>IF(ISNUMBER('Chemical Data'!AQ491),'Chemical Data'!AQ491,"")</f>
        <v>0.225552</v>
      </c>
      <c r="AR151" s="4">
        <f>IF(ISNUMBER('Chemical Data'!AR491),'Chemical Data'!AR491,"")</f>
        <v>24.536399999999997</v>
      </c>
      <c r="AS151" s="1">
        <f t="shared" si="17"/>
        <v>0</v>
      </c>
    </row>
    <row r="152" spans="1:48" ht="14.25" customHeight="1" x14ac:dyDescent="0.3">
      <c r="A152" s="61">
        <v>45352</v>
      </c>
      <c r="B152" s="74">
        <v>6</v>
      </c>
      <c r="C152" s="61" t="s">
        <v>291</v>
      </c>
      <c r="D152" s="61"/>
      <c r="E152" s="61" t="s">
        <v>295</v>
      </c>
      <c r="F152" s="61"/>
      <c r="G152" s="61"/>
      <c r="H152" s="61" t="s">
        <v>338</v>
      </c>
      <c r="I152" s="74"/>
      <c r="J152" s="4">
        <f>AVERAGE(24.277,21.1,18.46)</f>
        <v>21.279</v>
      </c>
      <c r="K152" s="4" t="s">
        <v>96</v>
      </c>
      <c r="L152" s="2">
        <v>3.41</v>
      </c>
      <c r="M152" s="2">
        <v>3.6</v>
      </c>
      <c r="N152" s="4">
        <v>457</v>
      </c>
      <c r="O152" s="4"/>
      <c r="P152" s="4">
        <v>8.6999999999999993</v>
      </c>
      <c r="Q152" s="4"/>
      <c r="R152" s="4">
        <v>0</v>
      </c>
      <c r="S152" s="4">
        <v>59.8</v>
      </c>
      <c r="T152" s="4" cm="1">
        <f t="array" ref="T152">_xlfn.IFS(L152&lt;=5,IF(ISNUMBER(X152)=TRUE,X152*1.79+AA152*1.8+Z152*5.56+50000*(10^-L152)-R152,1.79+AA152*1.8+Z152*5.56+50000*(10^-L152)-R152),L152&gt;5,IF(ISNUMBER(X152)=TRUE,X152*1.79+AA152*1.8+50000*(10^-L152)-R152,AA152*1.8+50000*(10^-L152)-R152))</f>
        <v>57.910947249714013</v>
      </c>
      <c r="U152" s="4"/>
      <c r="V152" s="4"/>
      <c r="W152" s="3">
        <v>0.68200000000000005</v>
      </c>
      <c r="X152" s="3">
        <v>0.151</v>
      </c>
      <c r="Y152" s="3">
        <f t="shared" si="109"/>
        <v>0.53100000000000003</v>
      </c>
      <c r="Z152" s="3">
        <v>6.32</v>
      </c>
      <c r="AA152" s="3">
        <v>1.694</v>
      </c>
      <c r="AB152" s="4">
        <v>174.4</v>
      </c>
      <c r="AC152" s="4"/>
      <c r="AD152" s="4"/>
      <c r="AE152" s="4"/>
      <c r="AF152" s="4"/>
      <c r="AG152" s="4"/>
      <c r="AH152" s="4"/>
      <c r="AI152" s="4"/>
      <c r="AJ152" s="4"/>
      <c r="AK152" s="4" t="s">
        <v>363</v>
      </c>
      <c r="AL152" s="4">
        <v>276</v>
      </c>
      <c r="AM152" s="4"/>
      <c r="AN152" s="1">
        <f>S152*J152*0.012</f>
        <v>15.269810399999999</v>
      </c>
      <c r="AO152" s="1">
        <f>W152*J152*0.012</f>
        <v>0.17414733600000001</v>
      </c>
      <c r="AP152" s="1">
        <f>Z152*J152*0.012</f>
        <v>1.61379936</v>
      </c>
      <c r="AQ152" s="1">
        <f>AA152*J152*0.012</f>
        <v>0.43255951199999998</v>
      </c>
      <c r="AR152" s="1">
        <f>AB152*J152*0.012</f>
        <v>44.532691200000002</v>
      </c>
      <c r="AS152" s="1">
        <f t="shared" si="17"/>
        <v>0</v>
      </c>
    </row>
    <row r="153" spans="1:48" ht="14.25" customHeight="1" x14ac:dyDescent="0.3">
      <c r="A153" s="61">
        <f>'Chemical Data'!A493</f>
        <v>45366</v>
      </c>
      <c r="B153" s="65">
        <f>'Chemical Data'!B493</f>
        <v>3</v>
      </c>
      <c r="C153" s="61" t="str">
        <f>'Chemical Data'!C493</f>
        <v>PD4</v>
      </c>
      <c r="D153" s="61"/>
      <c r="E153" s="61" t="str">
        <f>'Chemical Data'!E493</f>
        <v>Penn Run AMD -4 South side</v>
      </c>
      <c r="F153" s="61"/>
      <c r="G153" s="61"/>
      <c r="H153" s="61" t="str">
        <f>'Chemical Data'!H493</f>
        <v>Hedin/ICCD</v>
      </c>
      <c r="I153" s="74">
        <v>1.9390000000000001</v>
      </c>
      <c r="J153" s="4">
        <f>IF(ISNUMBER('Chemical Data'!J493),'Chemical Data'!J493,"")</f>
        <v>29</v>
      </c>
      <c r="K153" s="4" t="s">
        <v>96</v>
      </c>
      <c r="L153" s="2">
        <f>IF(ISNUMBER('Chemical Data'!L493),'Chemical Data'!L493,"")</f>
        <v>3.38</v>
      </c>
      <c r="M153" s="2">
        <f>IF(ISNUMBER('Chemical Data'!M493),'Chemical Data'!M493,"")</f>
        <v>3.6</v>
      </c>
      <c r="N153" s="4">
        <f>IF(ISNUMBER('Chemical Data'!N493),'Chemical Data'!N493,"")</f>
        <v>481</v>
      </c>
      <c r="O153" s="4" t="str">
        <f>IF(ISNUMBER('Chemical Data'!O493),'Chemical Data'!O493,"")</f>
        <v/>
      </c>
      <c r="P153" s="4" t="str">
        <f>IF(ISNUMBER('Chemical Data'!P493),'Chemical Data'!P493,"")</f>
        <v/>
      </c>
      <c r="Q153" s="4">
        <f>IF(ISNUMBER('Chemical Data'!Q493),'Chemical Data'!Q493,"")</f>
        <v>0</v>
      </c>
      <c r="R153" s="4">
        <f>IF(ISNUMBER('Chemical Data'!R493),'Chemical Data'!R493,"")</f>
        <v>0</v>
      </c>
      <c r="S153" s="4">
        <f>IF(ISNUMBER('Chemical Data'!S493),'Chemical Data'!S493,"")</f>
        <v>64.8</v>
      </c>
      <c r="T153" s="4">
        <f>IF(ISNUMBER('Chemical Data'!T493),'Chemical Data'!T493,"")</f>
        <v>63.389279173516755</v>
      </c>
      <c r="U153" s="4"/>
      <c r="V153" s="4"/>
      <c r="W153" s="3">
        <f>IF(ISNUMBER('Chemical Data'!W493),'Chemical Data'!W493,"")</f>
        <v>0.3</v>
      </c>
      <c r="X153" s="3">
        <f>IF(ISNUMBER('Chemical Data'!X493),'Chemical Data'!X493,"")</f>
        <v>0.123</v>
      </c>
      <c r="Y153" s="3">
        <f t="shared" si="109"/>
        <v>0.17699999999999999</v>
      </c>
      <c r="Z153" s="3">
        <f>IF(ISNUMBER('Chemical Data'!Z493),'Chemical Data'!Z493,"")</f>
        <v>7.0339999999999998</v>
      </c>
      <c r="AA153" s="3">
        <f>IF(ISNUMBER('Chemical Data'!AA493),'Chemical Data'!AA493,"")</f>
        <v>1.7869999999999999</v>
      </c>
      <c r="AB153" s="4">
        <f>IF(ISNUMBER('Chemical Data'!AB493),'Chemical Data'!AB493,"")</f>
        <v>161.6</v>
      </c>
      <c r="AC153" s="4" t="str">
        <f>IF(ISNUMBER('Chemical Data'!AC493),'Chemical Data'!AC493,"")</f>
        <v/>
      </c>
      <c r="AD153" s="4" t="str">
        <f>IF(ISNUMBER('Chemical Data'!AD493),'Chemical Data'!AD493,"")</f>
        <v/>
      </c>
      <c r="AE153" s="4" t="str">
        <f>IF(ISNUMBER('Chemical Data'!AE493),'Chemical Data'!AE493,"")</f>
        <v/>
      </c>
      <c r="AF153" s="4" t="str">
        <f>IF(ISNUMBER('Chemical Data'!AF493),'Chemical Data'!AF493,"")</f>
        <v/>
      </c>
      <c r="AG153" s="4" t="str">
        <f>IF(ISNUMBER('Chemical Data'!AG493),'Chemical Data'!AG493,"")</f>
        <v/>
      </c>
      <c r="AH153" s="4" t="str">
        <f>IF(ISNUMBER('Chemical Data'!AH493),'Chemical Data'!AH493,"")</f>
        <v/>
      </c>
      <c r="AI153" s="4" t="str">
        <f>IF(ISNUMBER('Chemical Data'!AI493),'Chemical Data'!AI493,"")</f>
        <v/>
      </c>
      <c r="AJ153" s="4" t="str">
        <f>IF(ISNUMBER('Chemical Data'!AJ493),'Chemical Data'!AJ493,"")</f>
        <v/>
      </c>
      <c r="AK153" s="4" t="str">
        <f>IF(ISNUMBER('Chemical Data'!AK493),'Chemical Data'!AK493,"")</f>
        <v/>
      </c>
      <c r="AL153" s="4">
        <f>IF(ISNUMBER('Chemical Data'!AL493),'Chemical Data'!AL493,"")</f>
        <v>270</v>
      </c>
      <c r="AM153" s="4" t="str">
        <f>IF(ISNUMBER('Chemical Data'!AM493),'Chemical Data'!AM493,"")</f>
        <v/>
      </c>
      <c r="AN153" s="4">
        <f>IF(ISNUMBER('Chemical Data'!AN493),'Chemical Data'!AN493,"")</f>
        <v>22.5504</v>
      </c>
      <c r="AO153" s="4">
        <f>IF(ISNUMBER('Chemical Data'!AO493),'Chemical Data'!AO493,"")</f>
        <v>0.10439999999999999</v>
      </c>
      <c r="AP153" s="4">
        <f>IF(ISNUMBER('Chemical Data'!AP493),'Chemical Data'!AP493,"")</f>
        <v>2.447832</v>
      </c>
      <c r="AQ153" s="4">
        <f>IF(ISNUMBER('Chemical Data'!AQ493),'Chemical Data'!AQ493,"")</f>
        <v>0.62187599999999998</v>
      </c>
      <c r="AR153" s="4">
        <f>IF(ISNUMBER('Chemical Data'!AR493),'Chemical Data'!AR493,"")</f>
        <v>56.236799999999995</v>
      </c>
      <c r="AS153" s="1">
        <f t="shared" si="17"/>
        <v>0</v>
      </c>
    </row>
    <row r="154" spans="1:48" ht="14.25" customHeight="1" x14ac:dyDescent="0.3">
      <c r="A154" s="61">
        <v>45392</v>
      </c>
      <c r="B154" s="74">
        <v>4</v>
      </c>
      <c r="C154" s="61" t="s">
        <v>291</v>
      </c>
      <c r="D154" s="61"/>
      <c r="E154" s="61" t="s">
        <v>295</v>
      </c>
      <c r="F154" s="61"/>
      <c r="G154" s="61"/>
      <c r="H154" s="61" t="s">
        <v>338</v>
      </c>
      <c r="I154" s="61"/>
      <c r="J154" s="4">
        <f>IF(ISNUMBER('Chemical Data'!J494),'Chemical Data'!J494,"")</f>
        <v>28.5</v>
      </c>
      <c r="K154" s="4" t="s">
        <v>96</v>
      </c>
      <c r="L154" s="2">
        <f>IF(ISNUMBER('Chemical Data'!L494),'Chemical Data'!L494,"")</f>
        <v>3.44</v>
      </c>
      <c r="M154" s="2">
        <f>IF(ISNUMBER('Chemical Data'!M494),'Chemical Data'!M494,"")</f>
        <v>3.5</v>
      </c>
      <c r="N154" s="4">
        <f>IF(ISNUMBER('Chemical Data'!N494),'Chemical Data'!N494,"")</f>
        <v>466</v>
      </c>
      <c r="O154" s="4" t="str">
        <f>IF(ISNUMBER('Chemical Data'!O494),'Chemical Data'!O494,"")</f>
        <v/>
      </c>
      <c r="P154" s="4">
        <f>IF(ISNUMBER('Chemical Data'!P494),'Chemical Data'!P494,"")</f>
        <v>9.1999999999999993</v>
      </c>
      <c r="Q154" s="4">
        <f>IF(ISNUMBER('Chemical Data'!Q494),'Chemical Data'!Q494,"")</f>
        <v>0</v>
      </c>
      <c r="R154" s="4">
        <f>IF(ISNUMBER('Chemical Data'!R494),'Chemical Data'!R494,"")</f>
        <v>0</v>
      </c>
      <c r="S154" s="4">
        <f>IF(ISNUMBER('Chemical Data'!S494),'Chemical Data'!S494,"")</f>
        <v>76.8</v>
      </c>
      <c r="T154" s="4">
        <f>IF(ISNUMBER('Chemical Data'!T494),'Chemical Data'!T494,"")</f>
        <v>70.291362738505043</v>
      </c>
      <c r="U154" s="4"/>
      <c r="V154" s="4"/>
      <c r="W154" s="3">
        <f>IF(ISNUMBER('Chemical Data'!W494),'Chemical Data'!W494,"")</f>
        <v>0.44900000000000001</v>
      </c>
      <c r="X154" s="3">
        <f>IF(ISNUMBER('Chemical Data'!X494),'Chemical Data'!X494,"")</f>
        <v>0.158</v>
      </c>
      <c r="Y154" s="3">
        <f t="shared" si="109"/>
        <v>0.29100000000000004</v>
      </c>
      <c r="Z154" s="3">
        <f>IF(ISNUMBER('Chemical Data'!Z494),'Chemical Data'!Z494,"")</f>
        <v>8.6639999999999997</v>
      </c>
      <c r="AA154" s="3">
        <f>IF(ISNUMBER('Chemical Data'!AA494),'Chemical Data'!AA494,"")</f>
        <v>2.0459999999999998</v>
      </c>
      <c r="AB154" s="4">
        <f>IF(ISNUMBER('Chemical Data'!AB494),'Chemical Data'!AB494,"")</f>
        <v>179.7</v>
      </c>
      <c r="AC154" s="4" t="str">
        <f>IF(ISNUMBER('Chemical Data'!AC494),'Chemical Data'!AC494,"")</f>
        <v/>
      </c>
      <c r="AD154" s="4" t="str">
        <f>IF(ISNUMBER('Chemical Data'!AD494),'Chemical Data'!AD494,"")</f>
        <v/>
      </c>
      <c r="AE154" s="4" t="str">
        <f>IF(ISNUMBER('Chemical Data'!AE494),'Chemical Data'!AE494,"")</f>
        <v/>
      </c>
      <c r="AF154" s="4" t="str">
        <f>IF(ISNUMBER('Chemical Data'!AF494),'Chemical Data'!AF494,"")</f>
        <v/>
      </c>
      <c r="AG154" s="4" t="str">
        <f>IF(ISNUMBER('Chemical Data'!AG494),'Chemical Data'!AG494,"")</f>
        <v/>
      </c>
      <c r="AH154" s="4" t="str">
        <f>IF(ISNUMBER('Chemical Data'!AH494),'Chemical Data'!AH494,"")</f>
        <v/>
      </c>
      <c r="AI154" s="4" t="str">
        <f>IF(ISNUMBER('Chemical Data'!AI494),'Chemical Data'!AI494,"")</f>
        <v/>
      </c>
      <c r="AJ154" s="4" t="str">
        <f>IF(ISNUMBER('Chemical Data'!AJ494),'Chemical Data'!AJ494,"")</f>
        <v/>
      </c>
      <c r="AK154" s="4" t="str">
        <f>IF(ISNUMBER('Chemical Data'!AK494),'Chemical Data'!AK494,"")</f>
        <v/>
      </c>
      <c r="AL154" s="4">
        <f>IF(ISNUMBER('Chemical Data'!AL494),'Chemical Data'!AL494,"")</f>
        <v>268</v>
      </c>
      <c r="AM154" s="4" t="str">
        <f>IF(ISNUMBER('Chemical Data'!AM494),'Chemical Data'!AM494,"")</f>
        <v/>
      </c>
      <c r="AN154" s="4">
        <f>IF(ISNUMBER('Chemical Data'!AN494),'Chemical Data'!AN494,"")</f>
        <v>26.265599999999996</v>
      </c>
      <c r="AO154" s="4">
        <f>IF(ISNUMBER('Chemical Data'!AO494),'Chemical Data'!AO494,"")</f>
        <v>0.153558</v>
      </c>
      <c r="AP154" s="4">
        <f>IF(ISNUMBER('Chemical Data'!AP494),'Chemical Data'!AP494,"")</f>
        <v>2.9630879999999999</v>
      </c>
      <c r="AQ154" s="4">
        <f>IF(ISNUMBER('Chemical Data'!AQ494),'Chemical Data'!AQ494,"")</f>
        <v>0.69973199999999991</v>
      </c>
      <c r="AR154" s="4">
        <f>IF(ISNUMBER('Chemical Data'!AR494),'Chemical Data'!AR494,"")</f>
        <v>61.4574</v>
      </c>
      <c r="AS154" s="1">
        <f>0.012*J154*Q154</f>
        <v>0</v>
      </c>
    </row>
    <row r="155" spans="1:48" ht="14.25" customHeight="1" x14ac:dyDescent="0.3">
      <c r="A155" s="61">
        <v>45442</v>
      </c>
      <c r="B155" s="74">
        <v>4</v>
      </c>
      <c r="C155" s="61" t="str">
        <f>'Chemical Data'!C495</f>
        <v>PD4</v>
      </c>
      <c r="D155" s="61"/>
      <c r="E155" s="61" t="str">
        <f>'Chemical Data'!E495</f>
        <v>Penn Run AMD -4 South side</v>
      </c>
      <c r="F155" s="61"/>
      <c r="G155" s="61"/>
      <c r="H155" s="61" t="str">
        <f>'Chemical Data'!H495</f>
        <v>Hedin/ICCD</v>
      </c>
      <c r="I155" s="61"/>
      <c r="J155" s="4">
        <f>IF(ISNUMBER('Chemical Data'!J495),'Chemical Data'!J495,"")</f>
        <v>16.2</v>
      </c>
      <c r="K155" s="4" t="s">
        <v>96</v>
      </c>
      <c r="L155" s="2">
        <f>IF(ISNUMBER('Chemical Data'!L495),'Chemical Data'!L495,"")</f>
        <v>3.45</v>
      </c>
      <c r="M155" s="2">
        <f>IF(ISNUMBER('Chemical Data'!M495),'Chemical Data'!M495,"")</f>
        <v>3.6</v>
      </c>
      <c r="N155" s="4">
        <f>IF(ISNUMBER('Chemical Data'!N495),'Chemical Data'!N495,"")</f>
        <v>458</v>
      </c>
      <c r="O155" s="4" t="str">
        <f>IF(ISNUMBER('Chemical Data'!O495),'Chemical Data'!O495,"")</f>
        <v/>
      </c>
      <c r="P155" s="4">
        <f>IF(ISNUMBER('Chemical Data'!P495),'Chemical Data'!P495,"")</f>
        <v>10.5</v>
      </c>
      <c r="Q155" s="4">
        <f>IF(ISNUMBER('Chemical Data'!Q495),'Chemical Data'!Q495,"")</f>
        <v>0</v>
      </c>
      <c r="R155" s="4">
        <f>IF(ISNUMBER('Chemical Data'!R495),'Chemical Data'!R495,"")</f>
        <v>0</v>
      </c>
      <c r="S155" s="4">
        <f>IF(ISNUMBER('Chemical Data'!S495),'Chemical Data'!S495,"")</f>
        <v>60.2</v>
      </c>
      <c r="T155" s="4">
        <f>IF(ISNUMBER('Chemical Data'!T495),'Chemical Data'!T495,"")</f>
        <v>52.821229461678755</v>
      </c>
      <c r="U155" s="4"/>
      <c r="V155" s="4"/>
      <c r="W155" s="3">
        <f>IF(ISNUMBER('Chemical Data'!W495),'Chemical Data'!W495,"")</f>
        <v>1.8540000000000001</v>
      </c>
      <c r="X155" s="3">
        <f>IF(ISNUMBER('Chemical Data'!X495),'Chemical Data'!X495,"")</f>
        <v>0.14799999999999999</v>
      </c>
      <c r="Y155" s="3">
        <f t="shared" si="109"/>
        <v>1.7060000000000002</v>
      </c>
      <c r="Z155" s="3">
        <f>IF(ISNUMBER('Chemical Data'!Z495),'Chemical Data'!Z495,"")</f>
        <v>5.7939999999999996</v>
      </c>
      <c r="AA155" s="3">
        <f>IF(ISNUMBER('Chemical Data'!AA495),'Chemical Data'!AA495,"")</f>
        <v>1.4450000000000001</v>
      </c>
      <c r="AB155" s="4">
        <f>IF(ISNUMBER('Chemical Data'!AB495),'Chemical Data'!AB495,"")</f>
        <v>149.4</v>
      </c>
      <c r="AC155" s="4" t="str">
        <f>IF(ISNUMBER('Chemical Data'!AC495),'Chemical Data'!AC495,"")</f>
        <v/>
      </c>
      <c r="AD155" s="4" t="str">
        <f>IF(ISNUMBER('Chemical Data'!AD495),'Chemical Data'!AD495,"")</f>
        <v/>
      </c>
      <c r="AE155" s="4" t="str">
        <f>IF(ISNUMBER('Chemical Data'!AE495),'Chemical Data'!AE495,"")</f>
        <v/>
      </c>
      <c r="AF155" s="4" t="str">
        <f>IF(ISNUMBER('Chemical Data'!AF495),'Chemical Data'!AF495,"")</f>
        <v/>
      </c>
      <c r="AG155" s="4" t="str">
        <f>IF(ISNUMBER('Chemical Data'!AG495),'Chemical Data'!AG495,"")</f>
        <v/>
      </c>
      <c r="AH155" s="4" t="str">
        <f>IF(ISNUMBER('Chemical Data'!AH495),'Chemical Data'!AH495,"")</f>
        <v/>
      </c>
      <c r="AI155" s="4" t="str">
        <f>IF(ISNUMBER('Chemical Data'!AI495),'Chemical Data'!AI495,"")</f>
        <v/>
      </c>
      <c r="AJ155" s="4" t="str">
        <f>IF(ISNUMBER('Chemical Data'!AJ495),'Chemical Data'!AJ495,"")</f>
        <v/>
      </c>
      <c r="AK155" s="4" t="str">
        <f>IF(ISNUMBER('Chemical Data'!AK495),'Chemical Data'!AK495,"")</f>
        <v/>
      </c>
      <c r="AL155" s="4">
        <f>IF(ISNUMBER('Chemical Data'!AL495),'Chemical Data'!AL495,"")</f>
        <v>256</v>
      </c>
      <c r="AM155" s="4" t="str">
        <f>IF(ISNUMBER('Chemical Data'!AM495),'Chemical Data'!AM495,"")</f>
        <v/>
      </c>
      <c r="AN155" s="4">
        <f>IF(ISNUMBER('Chemical Data'!AN495),'Chemical Data'!AN495,"")</f>
        <v>11.70288</v>
      </c>
      <c r="AO155" s="4">
        <f>IF(ISNUMBER('Chemical Data'!AO495),'Chemical Data'!AO495,"")</f>
        <v>0.3604176</v>
      </c>
      <c r="AP155" s="4">
        <f>IF(ISNUMBER('Chemical Data'!AP495),'Chemical Data'!AP495,"")</f>
        <v>1.1263535999999998</v>
      </c>
      <c r="AQ155" s="4">
        <f>IF(ISNUMBER('Chemical Data'!AQ495),'Chemical Data'!AQ495,"")</f>
        <v>0.28090799999999999</v>
      </c>
      <c r="AR155" s="4">
        <f>IF(ISNUMBER('Chemical Data'!AR495),'Chemical Data'!AR495,"")</f>
        <v>29.043360000000003</v>
      </c>
      <c r="AS155" s="4">
        <f>IF(ISNUMBER('Chemical Data'!AS495),'Chemical Data'!AS495,"")</f>
        <v>0</v>
      </c>
    </row>
    <row r="156" spans="1:48" ht="14.25" customHeight="1" x14ac:dyDescent="0.3">
      <c r="A156" s="61">
        <v>45461</v>
      </c>
      <c r="B156" s="74">
        <v>4</v>
      </c>
      <c r="C156" s="61" t="s">
        <v>291</v>
      </c>
      <c r="D156" s="61"/>
      <c r="E156" s="61" t="s">
        <v>295</v>
      </c>
      <c r="F156" s="61"/>
      <c r="G156" s="61"/>
      <c r="H156" s="61" t="s">
        <v>218</v>
      </c>
      <c r="I156" s="61"/>
      <c r="J156" s="4">
        <v>12.61</v>
      </c>
      <c r="K156" s="4" t="s">
        <v>96</v>
      </c>
      <c r="L156" s="2">
        <v>3.21</v>
      </c>
      <c r="M156" s="2">
        <f>IF(ISNUMBER('Chemical Data'!M496),'Chemical Data'!M496,"")</f>
        <v>3.6</v>
      </c>
      <c r="N156" s="4">
        <v>544</v>
      </c>
      <c r="O156" s="4" t="str">
        <f>IF(ISNUMBER('Chemical Data'!O496),'Chemical Data'!O496,"")</f>
        <v/>
      </c>
      <c r="P156" s="4">
        <v>10.8</v>
      </c>
      <c r="Q156" s="4">
        <v>0</v>
      </c>
      <c r="R156" s="4">
        <f>IF(ISNUMBER('Chemical Data'!R496),'Chemical Data'!R496,"")</f>
        <v>0</v>
      </c>
      <c r="S156" s="4">
        <f>IF(ISNUMBER('Chemical Data'!S496),'Chemical Data'!S496,"")</f>
        <v>58</v>
      </c>
      <c r="T156" s="4">
        <f>IF(ISNUMBER('Chemical Data'!T496),'Chemical Data'!T496,"")</f>
        <v>63.601360093074092</v>
      </c>
      <c r="U156" s="4"/>
      <c r="V156" s="4"/>
      <c r="W156" s="3">
        <f>IF(ISNUMBER('Chemical Data'!W496),'Chemical Data'!W496,"")</f>
        <v>0.3</v>
      </c>
      <c r="X156" s="3">
        <f>IF(ISNUMBER('Chemical Data'!X496),'Chemical Data'!X496,"")</f>
        <v>0.307</v>
      </c>
      <c r="Y156" s="3">
        <f t="shared" si="109"/>
        <v>0</v>
      </c>
      <c r="Z156" s="3">
        <f>IF(ISNUMBER('Chemical Data'!Z496),'Chemical Data'!Z496,"")</f>
        <v>5.3680000000000003</v>
      </c>
      <c r="AA156" s="3">
        <f>IF(ISNUMBER('Chemical Data'!AA496),'Chemical Data'!AA496,"")</f>
        <v>1.32</v>
      </c>
      <c r="AB156" s="4">
        <f>IF(ISNUMBER('Chemical Data'!AB496),'Chemical Data'!AB496,"")</f>
        <v>156.1</v>
      </c>
      <c r="AC156" s="4" t="str">
        <f>IF(ISNUMBER('Chemical Data'!AC496),'Chemical Data'!AC496,"")</f>
        <v/>
      </c>
      <c r="AD156" s="4" t="str">
        <f>IF(ISNUMBER('Chemical Data'!AD496),'Chemical Data'!AD496,"")</f>
        <v/>
      </c>
      <c r="AE156" s="4" t="str">
        <f>IF(ISNUMBER('Chemical Data'!AE496),'Chemical Data'!AE496,"")</f>
        <v/>
      </c>
      <c r="AF156" s="4" t="str">
        <f>IF(ISNUMBER('Chemical Data'!AF496),'Chemical Data'!AF496,"")</f>
        <v/>
      </c>
      <c r="AG156" s="4" t="str">
        <f>IF(ISNUMBER('Chemical Data'!AG496),'Chemical Data'!AG496,"")</f>
        <v/>
      </c>
      <c r="AH156" s="4" t="str">
        <f>IF(ISNUMBER('Chemical Data'!AH496),'Chemical Data'!AH496,"")</f>
        <v/>
      </c>
      <c r="AI156" s="4" t="str">
        <f>IF(ISNUMBER('Chemical Data'!AI496),'Chemical Data'!AI496,"")</f>
        <v/>
      </c>
      <c r="AJ156" s="4" t="str">
        <f>IF(ISNUMBER('Chemical Data'!AJ496),'Chemical Data'!AJ496,"")</f>
        <v/>
      </c>
      <c r="AK156" s="4" t="str">
        <f>IF(ISNUMBER('Chemical Data'!AK496),'Chemical Data'!AK496,"")</f>
        <v/>
      </c>
      <c r="AL156" s="4">
        <f>IF(ISNUMBER('Chemical Data'!AL496),'Chemical Data'!AL496,"")</f>
        <v>254</v>
      </c>
      <c r="AM156" s="4" t="str">
        <f>IF(ISNUMBER('Chemical Data'!AM496),'Chemical Data'!AM496,"")</f>
        <v/>
      </c>
      <c r="AN156" s="4">
        <f>IF(ISNUMBER('Chemical Data'!AN496),'Chemical Data'!AN496,"")</f>
        <v>8.7765599999999999</v>
      </c>
      <c r="AO156" s="4">
        <f>IF(ISNUMBER('Chemical Data'!AO496),'Chemical Data'!AO496,"")</f>
        <v>4.5395999999999992E-2</v>
      </c>
      <c r="AP156" s="4">
        <f>IF(ISNUMBER('Chemical Data'!AP496),'Chemical Data'!AP496,"")</f>
        <v>0.81228576000000008</v>
      </c>
      <c r="AQ156" s="4">
        <f>IF(ISNUMBER('Chemical Data'!AQ496),'Chemical Data'!AQ496,"")</f>
        <v>0.19974239999999999</v>
      </c>
      <c r="AR156" s="4">
        <f>IF(ISNUMBER('Chemical Data'!AR496),'Chemical Data'!AR496,"")</f>
        <v>23.621051999999999</v>
      </c>
      <c r="AS156" s="4">
        <f>IF(ISNUMBER('Chemical Data'!AS496),'Chemical Data'!AS496,"")</f>
        <v>0</v>
      </c>
    </row>
    <row r="157" spans="1:48" ht="14.25" customHeight="1" x14ac:dyDescent="0.3">
      <c r="A157" s="61">
        <v>45483</v>
      </c>
      <c r="B157" s="74">
        <v>4</v>
      </c>
      <c r="C157" s="61" t="str">
        <f>'Chemical Data'!C497</f>
        <v>PD4</v>
      </c>
      <c r="D157" s="61"/>
      <c r="E157" s="61" t="str">
        <f>'Chemical Data'!E497</f>
        <v>Penn Run AMD -4 South side</v>
      </c>
      <c r="F157" s="61"/>
      <c r="G157" s="61"/>
      <c r="H157" s="61" t="str">
        <f>'Chemical Data'!H497</f>
        <v>Hedin/ICCD</v>
      </c>
      <c r="I157" s="61"/>
      <c r="J157" s="4">
        <f>IF(ISNUMBER('Chemical Data'!J497),'Chemical Data'!J497,"")</f>
        <v>14.98</v>
      </c>
      <c r="K157" s="4" t="s">
        <v>96</v>
      </c>
      <c r="L157" s="2">
        <f>IF(ISNUMBER('Chemical Data'!L497),'Chemical Data'!L497,"")</f>
        <v>3.39</v>
      </c>
      <c r="M157" s="2">
        <f>IF(ISNUMBER('Chemical Data'!M497),'Chemical Data'!M497,"")</f>
        <v>3.6</v>
      </c>
      <c r="N157" s="4">
        <f>IF(ISNUMBER('Chemical Data'!N497),'Chemical Data'!N497,"")</f>
        <v>469</v>
      </c>
      <c r="O157" s="4" t="str">
        <f>IF(ISNUMBER('Chemical Data'!O497),'Chemical Data'!O497,"")</f>
        <v/>
      </c>
      <c r="P157" s="4">
        <f>IF(ISNUMBER('Chemical Data'!P497),'Chemical Data'!P497,"")</f>
        <v>12.1</v>
      </c>
      <c r="Q157" s="4">
        <f>IF(ISNUMBER('Chemical Data'!Q497),'Chemical Data'!Q497,"")</f>
        <v>0</v>
      </c>
      <c r="R157" s="4">
        <f>IF(ISNUMBER('Chemical Data'!R497),'Chemical Data'!R497,"")</f>
        <v>0</v>
      </c>
      <c r="S157" s="4">
        <f>IF(ISNUMBER('Chemical Data'!S497),'Chemical Data'!S497,"")</f>
        <v>61.8</v>
      </c>
      <c r="T157" s="4">
        <f>IF(ISNUMBER('Chemical Data'!T497),'Chemical Data'!T497,"")</f>
        <v>53.260043890205608</v>
      </c>
      <c r="U157" s="4"/>
      <c r="V157" s="4"/>
      <c r="W157" s="3">
        <f>IF(ISNUMBER('Chemical Data'!W497),'Chemical Data'!W497,"")</f>
        <v>0.56200000000000006</v>
      </c>
      <c r="X157" s="3">
        <f>IF(ISNUMBER('Chemical Data'!X497),'Chemical Data'!X497,"")</f>
        <v>0.13700000000000001</v>
      </c>
      <c r="Y157" s="3">
        <f>IF(W157-X157&lt;0,0,W157-X157)</f>
        <v>0.42500000000000004</v>
      </c>
      <c r="Z157" s="3">
        <f>IF(ISNUMBER('Chemical Data'!Z497),'Chemical Data'!Z497,"")</f>
        <v>5.44</v>
      </c>
      <c r="AA157" s="3">
        <f>IF(ISNUMBER('Chemical Data'!AA497),'Chemical Data'!AA497,"")</f>
        <v>1.333</v>
      </c>
      <c r="AB157" s="4">
        <f>IF(ISNUMBER('Chemical Data'!AB497),'Chemical Data'!AB497,"")</f>
        <v>166.5</v>
      </c>
      <c r="AC157" s="4" t="str">
        <f>IF(ISNUMBER('Chemical Data'!AC497),'Chemical Data'!AC497,"")</f>
        <v/>
      </c>
      <c r="AD157" s="4" t="str">
        <f>IF(ISNUMBER('Chemical Data'!AD497),'Chemical Data'!AD497,"")</f>
        <v/>
      </c>
      <c r="AE157" s="4" t="str">
        <f>IF(ISNUMBER('Chemical Data'!AE497),'Chemical Data'!AE497,"")</f>
        <v/>
      </c>
      <c r="AF157" s="4" t="str">
        <f>IF(ISNUMBER('Chemical Data'!AF497),'Chemical Data'!AF497,"")</f>
        <v/>
      </c>
      <c r="AG157" s="4" t="str">
        <f>IF(ISNUMBER('Chemical Data'!AG497),'Chemical Data'!AG497,"")</f>
        <v/>
      </c>
      <c r="AH157" s="4" t="str">
        <f>IF(ISNUMBER('Chemical Data'!AH497),'Chemical Data'!AH497,"")</f>
        <v/>
      </c>
      <c r="AI157" s="4" t="str">
        <f>IF(ISNUMBER('Chemical Data'!AI497),'Chemical Data'!AI497,"")</f>
        <v/>
      </c>
      <c r="AJ157" s="4" t="str">
        <f>IF(ISNUMBER('Chemical Data'!AJ497),'Chemical Data'!AJ497,"")</f>
        <v/>
      </c>
      <c r="AK157" s="4" t="str">
        <f>IF(ISNUMBER('Chemical Data'!AK497),'Chemical Data'!AK497,"")</f>
        <v/>
      </c>
      <c r="AL157" s="4">
        <f>IF(ISNUMBER('Chemical Data'!AL497),'Chemical Data'!AL497,"")</f>
        <v>278</v>
      </c>
      <c r="AM157" s="4" t="str">
        <f>IF(ISNUMBER('Chemical Data'!AM497),'Chemical Data'!AM497,"")</f>
        <v/>
      </c>
      <c r="AN157" s="4">
        <f>IF(ISNUMBER('Chemical Data'!AN497),'Chemical Data'!AN497,"")</f>
        <v>11.109168</v>
      </c>
      <c r="AO157" s="4">
        <f>IF(ISNUMBER('Chemical Data'!AO497),'Chemical Data'!AO497,"")</f>
        <v>0.10102512000000001</v>
      </c>
      <c r="AP157" s="4">
        <f>IF(ISNUMBER('Chemical Data'!AP497),'Chemical Data'!AP497,"")</f>
        <v>0.97789440000000005</v>
      </c>
      <c r="AQ157" s="4">
        <f>IF(ISNUMBER('Chemical Data'!AQ497),'Chemical Data'!AQ497,"")</f>
        <v>0.23962008000000001</v>
      </c>
      <c r="AR157" s="4">
        <f>IF(ISNUMBER('Chemical Data'!AR497),'Chemical Data'!AR497,"")</f>
        <v>29.930040000000002</v>
      </c>
      <c r="AS157" s="4">
        <f>IF(ISNUMBER('Chemical Data'!AS497),'Chemical Data'!AS497,"")</f>
        <v>0</v>
      </c>
    </row>
    <row r="158" spans="1:48" ht="14.25" customHeight="1" x14ac:dyDescent="0.3">
      <c r="A158" s="61">
        <v>45527</v>
      </c>
      <c r="B158" s="74">
        <v>4</v>
      </c>
      <c r="C158" s="61" t="s">
        <v>291</v>
      </c>
      <c r="D158" s="61"/>
      <c r="E158" s="61" t="str">
        <f>'Chemical Data'!E498</f>
        <v>Penn Run AMD -4 South side</v>
      </c>
      <c r="F158" s="61"/>
      <c r="G158" s="61"/>
      <c r="H158" s="61" t="str">
        <f>'Chemical Data'!H498</f>
        <v>Hedin/ICCD</v>
      </c>
      <c r="I158" s="61"/>
      <c r="J158" s="4">
        <f>IF(ISNUMBER('Chemical Data'!J498),'Chemical Data'!J498,"")</f>
        <v>14</v>
      </c>
      <c r="K158" s="4" t="s">
        <v>96</v>
      </c>
      <c r="L158" s="2">
        <f>IF(ISNUMBER('Chemical Data'!L498),'Chemical Data'!L498,"")</f>
        <v>3.6</v>
      </c>
      <c r="M158" s="2">
        <f>IF(ISNUMBER('Chemical Data'!M498),'Chemical Data'!M498,"")</f>
        <v>3.6</v>
      </c>
      <c r="N158" s="4">
        <f>IF(ISNUMBER('Chemical Data'!N498),'Chemical Data'!N498,"")</f>
        <v>439</v>
      </c>
      <c r="O158" s="2" t="str">
        <f>IF(ISNUMBER('Chemical Data'!O498),'Chemical Data'!O498,"")</f>
        <v/>
      </c>
      <c r="P158" s="2" t="str">
        <f>IF(ISNUMBER('Chemical Data'!P498),'Chemical Data'!P498,"")</f>
        <v/>
      </c>
      <c r="Q158" s="2">
        <f>IF(ISNUMBER('Chemical Data'!Q498),'Chemical Data'!Q498,"")</f>
        <v>0</v>
      </c>
      <c r="R158" s="4">
        <f>IF(ISNUMBER('Chemical Data'!R498),'Chemical Data'!R498,"")</f>
        <v>0</v>
      </c>
      <c r="S158" s="4">
        <f>IF(ISNUMBER('Chemical Data'!S498),'Chemical Data'!S498,"")</f>
        <v>63.2</v>
      </c>
      <c r="T158" s="4">
        <f>IF(ISNUMBER('Chemical Data'!T498),'Chemical Data'!T498,"")</f>
        <v>48.063812157547886</v>
      </c>
      <c r="U158" s="4"/>
      <c r="V158" s="4"/>
      <c r="W158" s="3">
        <f>IF(ISNUMBER('Chemical Data'!W498),'Chemical Data'!W498,"")</f>
        <v>2.6440000000000001</v>
      </c>
      <c r="X158" s="3">
        <f>IF(ISNUMBER('Chemical Data'!X498),'Chemical Data'!X498,"")</f>
        <v>0.26200000000000001</v>
      </c>
      <c r="Y158" s="3">
        <f t="shared" ref="Y158" si="110">IF(W158-X158&lt;0,0,W158-X158)</f>
        <v>2.3820000000000001</v>
      </c>
      <c r="Z158" s="3">
        <f>IF(ISNUMBER('Chemical Data'!Z498),'Chemical Data'!Z498,"")</f>
        <v>5.7949999999999999</v>
      </c>
      <c r="AA158" s="3">
        <f>IF(ISNUMBER('Chemical Data'!AA498),'Chemical Data'!AA498,"")</f>
        <v>1.5640000000000001</v>
      </c>
      <c r="AB158" s="4">
        <f>IF(ISNUMBER('Chemical Data'!AB498),'Chemical Data'!AB498,"")</f>
        <v>162.80000000000001</v>
      </c>
      <c r="AC158" s="4" t="str">
        <f>IF(ISNUMBER('Chemical Data'!AC498),'Chemical Data'!AC498,"")</f>
        <v/>
      </c>
      <c r="AD158" s="4" t="str">
        <f>IF(ISNUMBER('Chemical Data'!AD498),'Chemical Data'!AD498,"")</f>
        <v/>
      </c>
      <c r="AE158" s="4" t="str">
        <f>IF(ISNUMBER('Chemical Data'!AE498),'Chemical Data'!AE498,"")</f>
        <v/>
      </c>
      <c r="AF158" s="4" t="str">
        <f>IF(ISNUMBER('Chemical Data'!AF498),'Chemical Data'!AF498,"")</f>
        <v/>
      </c>
      <c r="AG158" s="4" t="str">
        <f>IF(ISNUMBER('Chemical Data'!AG498),'Chemical Data'!AG498,"")</f>
        <v/>
      </c>
      <c r="AH158" s="4" t="str">
        <f>IF(ISNUMBER('Chemical Data'!AH498),'Chemical Data'!AH498,"")</f>
        <v/>
      </c>
      <c r="AI158" s="4" t="str">
        <f>IF(ISNUMBER('Chemical Data'!AI498),'Chemical Data'!AI498,"")</f>
        <v/>
      </c>
      <c r="AJ158" s="4" t="str">
        <f>IF(ISNUMBER('Chemical Data'!AJ498),'Chemical Data'!AJ498,"")</f>
        <v/>
      </c>
      <c r="AK158" s="4" t="str">
        <f>IF(ISNUMBER('Chemical Data'!AK498),'Chemical Data'!AK498,"")</f>
        <v/>
      </c>
      <c r="AL158" s="4">
        <f>IF(ISNUMBER('Chemical Data'!AL498),'Chemical Data'!AL498,"")</f>
        <v>282</v>
      </c>
      <c r="AM158" s="4" t="str">
        <f>IF(ISNUMBER('Chemical Data'!AM498),'Chemical Data'!AM498,"")</f>
        <v/>
      </c>
      <c r="AN158" s="4">
        <f>IF(ISNUMBER('Chemical Data'!AN498),'Chemical Data'!AN498,"")</f>
        <v>10.617600000000001</v>
      </c>
      <c r="AO158" s="4">
        <f>IF(ISNUMBER('Chemical Data'!AO498),'Chemical Data'!AO498,"")</f>
        <v>0.44419200000000009</v>
      </c>
      <c r="AP158" s="4">
        <f>IF(ISNUMBER('Chemical Data'!AP498),'Chemical Data'!AP498,"")</f>
        <v>0.97355999999999998</v>
      </c>
      <c r="AQ158" s="4">
        <f>IF(ISNUMBER('Chemical Data'!AQ498),'Chemical Data'!AQ498,"")</f>
        <v>0.26275200000000004</v>
      </c>
      <c r="AR158" s="4">
        <f>IF(ISNUMBER('Chemical Data'!AR498),'Chemical Data'!AR498,"")</f>
        <v>27.350400000000004</v>
      </c>
      <c r="AS158" s="4">
        <f>IF(ISNUMBER('Chemical Data'!AS498),'Chemical Data'!AS498,"")</f>
        <v>0</v>
      </c>
    </row>
    <row r="159" spans="1:48" ht="14.25" customHeight="1" x14ac:dyDescent="0.3">
      <c r="A159" s="61">
        <v>45547</v>
      </c>
      <c r="B159" s="74">
        <v>4</v>
      </c>
      <c r="C159" s="61" t="str">
        <f>'Chemical Data'!C499</f>
        <v>PD4</v>
      </c>
      <c r="D159" s="61"/>
      <c r="E159" s="61" t="str">
        <f>'Chemical Data'!E499</f>
        <v>Penn Run AMD -4 South side</v>
      </c>
      <c r="F159" s="61"/>
      <c r="G159" s="61"/>
      <c r="H159" s="61" t="str">
        <f>'Chemical Data'!H499</f>
        <v>Hedin/ICCD</v>
      </c>
      <c r="I159" s="61"/>
      <c r="J159" s="4">
        <f>IF(ISNUMBER('Chemical Data'!J499),'Chemical Data'!J499,"")</f>
        <v>20.329999999999998</v>
      </c>
      <c r="K159" s="4" t="s">
        <v>96</v>
      </c>
      <c r="L159" s="2">
        <f>IF(ISNUMBER('Chemical Data'!L499),'Chemical Data'!L499,"")</f>
        <v>3.34</v>
      </c>
      <c r="M159" s="2">
        <f>IF(ISNUMBER('Chemical Data'!M499),'Chemical Data'!M499,"")</f>
        <v>3.6</v>
      </c>
      <c r="N159" s="4">
        <f>IF(ISNUMBER('Chemical Data'!N499),'Chemical Data'!N499,"")</f>
        <v>461</v>
      </c>
      <c r="O159" s="4" t="str">
        <f>IF(ISNUMBER('Chemical Data'!O499),'Chemical Data'!O499,"")</f>
        <v/>
      </c>
      <c r="P159" s="4" t="str">
        <f>IF(ISNUMBER('Chemical Data'!P499),'Chemical Data'!P499,"")</f>
        <v/>
      </c>
      <c r="Q159" s="4">
        <f>IF(ISNUMBER('Chemical Data'!Q499),'Chemical Data'!Q499,"")</f>
        <v>0</v>
      </c>
      <c r="R159" s="4">
        <f>IF(ISNUMBER('Chemical Data'!R499),'Chemical Data'!R499,"")</f>
        <v>0</v>
      </c>
      <c r="S159" s="4">
        <f>IF(ISNUMBER('Chemical Data'!S499),'Chemical Data'!S499,"")</f>
        <v>59.4</v>
      </c>
      <c r="T159" s="4">
        <f>IF(ISNUMBER('Chemical Data'!T499),'Chemical Data'!T499,"")</f>
        <v>54.316099480743745</v>
      </c>
      <c r="U159" s="4"/>
      <c r="V159" s="4"/>
      <c r="W159" s="3">
        <f>IF(ISNUMBER('Chemical Data'!W499),'Chemical Data'!W499,"")</f>
        <v>2.2930000000000001</v>
      </c>
      <c r="X159" s="3">
        <f>IF(ISNUMBER('Chemical Data'!X499),'Chemical Data'!X499,"")</f>
        <v>0.10299999999999999</v>
      </c>
      <c r="Y159" s="3">
        <f t="shared" ref="Y159" si="111">IF(W159-X159&lt;0,0,W159-X159)</f>
        <v>2.19</v>
      </c>
      <c r="Z159" s="3">
        <f>IF(ISNUMBER('Chemical Data'!Z499),'Chemical Data'!Z499,"")</f>
        <v>5.1669999999999998</v>
      </c>
      <c r="AA159" s="3">
        <f>IF(ISNUMBER('Chemical Data'!AA499),'Chemical Data'!AA499,"")</f>
        <v>1.4159999999999999</v>
      </c>
      <c r="AB159" s="4">
        <f>IF(ISNUMBER('Chemical Data'!AB499),'Chemical Data'!AB499,"")</f>
        <v>145.6</v>
      </c>
      <c r="AC159" s="4" t="str">
        <f>IF(ISNUMBER('Chemical Data'!AC499),'Chemical Data'!AC499,"")</f>
        <v/>
      </c>
      <c r="AD159" s="4" t="str">
        <f>IF(ISNUMBER('Chemical Data'!AD499),'Chemical Data'!AD499,"")</f>
        <v/>
      </c>
      <c r="AE159" s="4" t="str">
        <f>IF(ISNUMBER('Chemical Data'!AE499),'Chemical Data'!AE499,"")</f>
        <v/>
      </c>
      <c r="AF159" s="4" t="str">
        <f>IF(ISNUMBER('Chemical Data'!AF499),'Chemical Data'!AF499,"")</f>
        <v/>
      </c>
      <c r="AG159" s="4" t="str">
        <f>IF(ISNUMBER('Chemical Data'!AG499),'Chemical Data'!AG499,"")</f>
        <v/>
      </c>
      <c r="AH159" s="4" t="str">
        <f>IF(ISNUMBER('Chemical Data'!AH499),'Chemical Data'!AH499,"")</f>
        <v/>
      </c>
      <c r="AI159" s="4" t="str">
        <f>IF(ISNUMBER('Chemical Data'!AI499),'Chemical Data'!AI499,"")</f>
        <v/>
      </c>
      <c r="AJ159" s="4" t="str">
        <f>IF(ISNUMBER('Chemical Data'!AJ499),'Chemical Data'!AJ499,"")</f>
        <v/>
      </c>
      <c r="AK159" s="4" t="str">
        <f>IF(ISNUMBER('Chemical Data'!AK499),'Chemical Data'!AK499,"")</f>
        <v/>
      </c>
      <c r="AL159" s="4">
        <f>IF(ISNUMBER('Chemical Data'!AL499),'Chemical Data'!AL499,"")</f>
        <v>250</v>
      </c>
      <c r="AM159" s="4" t="str">
        <f>IF(ISNUMBER('Chemical Data'!AM499),'Chemical Data'!AM499,"")</f>
        <v/>
      </c>
      <c r="AN159" s="4">
        <f>IF(ISNUMBER('Chemical Data'!AN499),'Chemical Data'!AN499,"")</f>
        <v>14.491223999999999</v>
      </c>
      <c r="AO159" s="4">
        <f>IF(ISNUMBER('Chemical Data'!AO499),'Chemical Data'!AO499,"")</f>
        <v>0.55940027999999997</v>
      </c>
      <c r="AP159" s="4">
        <f>IF(ISNUMBER('Chemical Data'!AP499),'Chemical Data'!AP499,"")</f>
        <v>1.26054132</v>
      </c>
      <c r="AQ159" s="4">
        <f>IF(ISNUMBER('Chemical Data'!AQ499),'Chemical Data'!AQ499,"")</f>
        <v>0.34544735999999998</v>
      </c>
      <c r="AR159" s="4">
        <f>IF(ISNUMBER('Chemical Data'!AR499),'Chemical Data'!AR499,"")</f>
        <v>35.520575999999998</v>
      </c>
      <c r="AS159" s="4">
        <f>IF(ISNUMBER('Chemical Data'!AS499),'Chemical Data'!AS499,"")</f>
        <v>0</v>
      </c>
    </row>
    <row r="160" spans="1:48" ht="14.25" customHeight="1" x14ac:dyDescent="0.3">
      <c r="A160" s="61">
        <v>45595</v>
      </c>
      <c r="B160" s="74">
        <v>6</v>
      </c>
      <c r="C160" s="61" t="s">
        <v>291</v>
      </c>
      <c r="D160" s="61"/>
      <c r="E160" s="61" t="str">
        <f>'Chemical Data'!E500</f>
        <v>Penn Run AMD -4 South side</v>
      </c>
      <c r="F160" s="61"/>
      <c r="G160" s="61"/>
      <c r="H160" s="61" t="str">
        <f>'Chemical Data'!H500</f>
        <v>Hedin/ICCD</v>
      </c>
      <c r="I160" s="61"/>
      <c r="J160" s="4">
        <f>IF(ISNUMBER('Chemical Data'!J500),'Chemical Data'!J500,"")</f>
        <v>9.2469999999999999</v>
      </c>
      <c r="K160" s="4" t="s">
        <v>96</v>
      </c>
      <c r="L160" s="2">
        <f>IF(ISNUMBER('Chemical Data'!L500),'Chemical Data'!L500,"")</f>
        <v>3.44</v>
      </c>
      <c r="M160" s="2">
        <f>IF(ISNUMBER('Chemical Data'!M500),'Chemical Data'!M500,"")</f>
        <v>3.6</v>
      </c>
      <c r="N160" s="4">
        <f>IF(ISNUMBER('Chemical Data'!N500),'Chemical Data'!N500,"")</f>
        <v>434</v>
      </c>
      <c r="O160" s="4" t="str">
        <f>IF(ISNUMBER('Chemical Data'!O500),'Chemical Data'!O500,"")</f>
        <v/>
      </c>
      <c r="P160" s="4">
        <f>IF(ISNUMBER('Chemical Data'!P500),'Chemical Data'!P500,"")</f>
        <v>12.3</v>
      </c>
      <c r="Q160" s="4">
        <f>IF(ISNUMBER('Chemical Data'!Q500),'Chemical Data'!Q500,"")</f>
        <v>0</v>
      </c>
      <c r="R160" s="4">
        <f>IF(ISNUMBER('Chemical Data'!R500),'Chemical Data'!R500,"")</f>
        <v>0</v>
      </c>
      <c r="S160" s="4">
        <f>IF(ISNUMBER('Chemical Data'!S500),'Chemical Data'!S500,"")</f>
        <v>56.6</v>
      </c>
      <c r="T160" s="4">
        <f>IF(ISNUMBER('Chemical Data'!T500),'Chemical Data'!T500,"")</f>
        <v>49.197352738505046</v>
      </c>
      <c r="U160" s="4"/>
      <c r="V160" s="4"/>
      <c r="W160" s="3">
        <f>IF(ISNUMBER('Chemical Data'!W500),'Chemical Data'!W500,"")</f>
        <v>0.56899999999999995</v>
      </c>
      <c r="X160" s="3">
        <f>IF(ISNUMBER('Chemical Data'!X500),'Chemical Data'!X500,"")</f>
        <v>0.23499999999999999</v>
      </c>
      <c r="Y160" s="3">
        <f t="shared" ref="Y160" si="112">IF(W160-X160&lt;0,0,W160-X160)</f>
        <v>0.33399999999999996</v>
      </c>
      <c r="Z160" s="3">
        <f>IF(ISNUMBER('Chemical Data'!Z500),'Chemical Data'!Z500,"")</f>
        <v>5.07</v>
      </c>
      <c r="AA160" s="3">
        <f>IF(ISNUMBER('Chemical Data'!AA500),'Chemical Data'!AA500,"")</f>
        <v>1.3520000000000001</v>
      </c>
      <c r="AB160" s="4">
        <f>IF(ISNUMBER('Chemical Data'!AB500),'Chemical Data'!AB500,"")</f>
        <v>161.19999999999999</v>
      </c>
      <c r="AC160" s="4" t="str">
        <f>IF(ISNUMBER('Chemical Data'!AC500),'Chemical Data'!AC500,"")</f>
        <v/>
      </c>
      <c r="AD160" s="4" t="str">
        <f>IF(ISNUMBER('Chemical Data'!AD500),'Chemical Data'!AD500,"")</f>
        <v/>
      </c>
      <c r="AE160" s="4" t="str">
        <f>IF(ISNUMBER('Chemical Data'!AE500),'Chemical Data'!AE500,"")</f>
        <v/>
      </c>
      <c r="AF160" s="4" t="str">
        <f>IF(ISNUMBER('Chemical Data'!AF500),'Chemical Data'!AF500,"")</f>
        <v/>
      </c>
      <c r="AG160" s="4" t="str">
        <f>IF(ISNUMBER('Chemical Data'!AG500),'Chemical Data'!AG500,"")</f>
        <v/>
      </c>
      <c r="AH160" s="4" t="str">
        <f>IF(ISNUMBER('Chemical Data'!AH500),'Chemical Data'!AH500,"")</f>
        <v/>
      </c>
      <c r="AI160" s="4" t="str">
        <f>IF(ISNUMBER('Chemical Data'!AI500),'Chemical Data'!AI500,"")</f>
        <v/>
      </c>
      <c r="AJ160" s="4" t="str">
        <f>IF(ISNUMBER('Chemical Data'!AJ500),'Chemical Data'!AJ500,"")</f>
        <v/>
      </c>
      <c r="AK160" s="4" t="str">
        <f>IF(ISNUMBER('Chemical Data'!AK500),'Chemical Data'!AK500,"")</f>
        <v/>
      </c>
      <c r="AL160" s="4">
        <f>IF(ISNUMBER('Chemical Data'!AL500),'Chemical Data'!AL500,"")</f>
        <v>252</v>
      </c>
      <c r="AM160" s="4" t="str">
        <f>IF(ISNUMBER('Chemical Data'!AM500),'Chemical Data'!AM500,"")</f>
        <v/>
      </c>
      <c r="AN160" s="4">
        <f>IF(ISNUMBER('Chemical Data'!AN500),'Chemical Data'!AN500,"")</f>
        <v>6.2805624000000009</v>
      </c>
      <c r="AO160" s="4">
        <f>IF(ISNUMBER('Chemical Data'!AO500),'Chemical Data'!AO500,"")</f>
        <v>6.3138515999999992E-2</v>
      </c>
      <c r="AP160" s="4">
        <f>IF(ISNUMBER('Chemical Data'!AP500),'Chemical Data'!AP500,"")</f>
        <v>0.56258748000000003</v>
      </c>
      <c r="AQ160" s="4">
        <f>IF(ISNUMBER('Chemical Data'!AQ500),'Chemical Data'!AQ500,"")</f>
        <v>0.15002332800000001</v>
      </c>
      <c r="AR160" s="4">
        <f>IF(ISNUMBER('Chemical Data'!AR500),'Chemical Data'!AR500,"")</f>
        <v>17.887396799999998</v>
      </c>
      <c r="AS160" s="4">
        <f>IF(ISNUMBER('Chemical Data'!AS500),'Chemical Data'!AS500,"")</f>
        <v>0</v>
      </c>
    </row>
    <row r="161" spans="1:48" ht="14.25" customHeight="1" x14ac:dyDescent="0.3">
      <c r="A161" s="61">
        <v>45617</v>
      </c>
      <c r="B161" s="74">
        <v>4</v>
      </c>
      <c r="C161" s="61" t="str">
        <f>'Chemical Data'!C501</f>
        <v>PD4</v>
      </c>
      <c r="D161" s="61"/>
      <c r="E161" s="61" t="str">
        <f>'Chemical Data'!E501</f>
        <v>Penn Run AMD -4 South side</v>
      </c>
      <c r="F161" s="61"/>
      <c r="G161" s="61"/>
      <c r="H161" s="61" t="str">
        <f>'Chemical Data'!H501</f>
        <v>Hedin/ICCD</v>
      </c>
      <c r="I161" s="61"/>
      <c r="J161" s="4">
        <f>IF(ISNUMBER('Chemical Data'!J501),'Chemical Data'!J501,"")</f>
        <v>7.33</v>
      </c>
      <c r="K161" s="4" t="s">
        <v>96</v>
      </c>
      <c r="L161" s="2">
        <f>IF(ISNUMBER('Chemical Data'!L501),'Chemical Data'!L501,"")</f>
        <v>4.05</v>
      </c>
      <c r="M161" s="2">
        <f>IF(ISNUMBER('Chemical Data'!M501),'Chemical Data'!M501,"")</f>
        <v>3.6</v>
      </c>
      <c r="N161" s="4">
        <f>IF(ISNUMBER('Chemical Data'!N501),'Chemical Data'!N501,"")</f>
        <v>438</v>
      </c>
      <c r="O161" s="4" t="str">
        <f>IF(ISNUMBER('Chemical Data'!O501),'Chemical Data'!O501,"")</f>
        <v/>
      </c>
      <c r="P161" s="4">
        <f>IF(ISNUMBER('Chemical Data'!P501),'Chemical Data'!P501,"")</f>
        <v>10.4</v>
      </c>
      <c r="Q161" s="4">
        <f>IF(ISNUMBER('Chemical Data'!Q501),'Chemical Data'!Q501,"")</f>
        <v>0</v>
      </c>
      <c r="R161" s="4">
        <f>IF(ISNUMBER('Chemical Data'!R501),'Chemical Data'!R501,"")</f>
        <v>0</v>
      </c>
      <c r="S161" s="4">
        <f>IF(ISNUMBER('Chemical Data'!S501),'Chemical Data'!S501,"")</f>
        <v>57.8</v>
      </c>
      <c r="T161" s="4">
        <f>IF(ISNUMBER('Chemical Data'!T501),'Chemical Data'!T501,"")</f>
        <v>38.35619469066873</v>
      </c>
      <c r="U161" s="4"/>
      <c r="V161" s="4"/>
      <c r="W161" s="3">
        <f>IF(ISNUMBER('Chemical Data'!W501),'Chemical Data'!W501,"")</f>
        <v>0.71899999999999997</v>
      </c>
      <c r="X161" s="3">
        <f>IF(ISNUMBER('Chemical Data'!X501),'Chemical Data'!X501,"")</f>
        <v>0.11799999999999999</v>
      </c>
      <c r="Y161" s="3">
        <f t="shared" ref="Y161" si="113">IF(W161-X161&lt;0,0,W161-X161)</f>
        <v>0.60099999999999998</v>
      </c>
      <c r="Z161" s="3">
        <f>IF(ISNUMBER('Chemical Data'!Z501),'Chemical Data'!Z501,"")</f>
        <v>5.6020000000000003</v>
      </c>
      <c r="AA161" s="3">
        <f>IF(ISNUMBER('Chemical Data'!AA501),'Chemical Data'!AA501,"")</f>
        <v>1.4119999999999999</v>
      </c>
      <c r="AB161" s="4">
        <f>IF(ISNUMBER('Chemical Data'!AB501),'Chemical Data'!AB501,"")</f>
        <v>171.8</v>
      </c>
      <c r="AC161" s="4" t="str">
        <f>IF(ISNUMBER('Chemical Data'!AC501),'Chemical Data'!AC501,"")</f>
        <v/>
      </c>
      <c r="AD161" s="4" t="str">
        <f>IF(ISNUMBER('Chemical Data'!AD501),'Chemical Data'!AD501,"")</f>
        <v/>
      </c>
      <c r="AE161" s="4" t="str">
        <f>IF(ISNUMBER('Chemical Data'!AE501),'Chemical Data'!AE501,"")</f>
        <v/>
      </c>
      <c r="AF161" s="4" t="str">
        <f>IF(ISNUMBER('Chemical Data'!AF501),'Chemical Data'!AF501,"")</f>
        <v/>
      </c>
      <c r="AG161" s="4" t="str">
        <f>IF(ISNUMBER('Chemical Data'!AG501),'Chemical Data'!AG501,"")</f>
        <v/>
      </c>
      <c r="AH161" s="4" t="str">
        <f>IF(ISNUMBER('Chemical Data'!AH501),'Chemical Data'!AH501,"")</f>
        <v/>
      </c>
      <c r="AI161" s="4" t="str">
        <f>IF(ISNUMBER('Chemical Data'!AI501),'Chemical Data'!AI501,"")</f>
        <v/>
      </c>
      <c r="AJ161" s="4" t="str">
        <f>IF(ISNUMBER('Chemical Data'!AJ501),'Chemical Data'!AJ501,"")</f>
        <v/>
      </c>
      <c r="AK161" s="4" t="str">
        <f>IF(ISNUMBER('Chemical Data'!AK501),'Chemical Data'!AK501,"")</f>
        <v/>
      </c>
      <c r="AL161" s="4">
        <f>IF(ISNUMBER('Chemical Data'!AL501),'Chemical Data'!AL501,"")</f>
        <v>246</v>
      </c>
      <c r="AM161" s="4" t="str">
        <f>IF(ISNUMBER('Chemical Data'!AM501),'Chemical Data'!AM501,"")</f>
        <v/>
      </c>
      <c r="AN161" s="4">
        <f>IF(ISNUMBER('Chemical Data'!AN501),'Chemical Data'!AN501,"")</f>
        <v>5.0840879999999995</v>
      </c>
      <c r="AO161" s="4">
        <f>IF(ISNUMBER('Chemical Data'!AO501),'Chemical Data'!AO501,"")</f>
        <v>6.3243240000000006E-2</v>
      </c>
      <c r="AP161" s="4">
        <f>IF(ISNUMBER('Chemical Data'!AP501),'Chemical Data'!AP501,"")</f>
        <v>0.49275192000000001</v>
      </c>
      <c r="AQ161" s="4">
        <f>IF(ISNUMBER('Chemical Data'!AQ501),'Chemical Data'!AQ501,"")</f>
        <v>0.12419951999999999</v>
      </c>
      <c r="AR161" s="4">
        <f>IF(ISNUMBER('Chemical Data'!AR501),'Chemical Data'!AR501,"")</f>
        <v>15.111528000000002</v>
      </c>
      <c r="AS161" s="4">
        <f>IF(ISNUMBER('Chemical Data'!AS501),'Chemical Data'!AS501,"")</f>
        <v>0</v>
      </c>
    </row>
    <row r="162" spans="1:48" ht="14.25" customHeight="1" x14ac:dyDescent="0.3">
      <c r="A162" s="61">
        <v>45644</v>
      </c>
      <c r="B162" s="74">
        <v>4</v>
      </c>
      <c r="C162" s="61" t="str">
        <f>'Chemical Data'!C502</f>
        <v>PD4</v>
      </c>
      <c r="D162" s="61"/>
      <c r="E162" s="61" t="str">
        <f>'Chemical Data'!E502</f>
        <v>Penn Run AMD -4 South side</v>
      </c>
      <c r="F162" s="61"/>
      <c r="G162" s="61"/>
      <c r="H162" s="61" t="str">
        <f>'Chemical Data'!H502</f>
        <v>ICCD</v>
      </c>
      <c r="I162" s="61"/>
      <c r="J162" s="4">
        <f>IF(ISNUMBER('Chemical Data'!J502),'Chemical Data'!J502,"")</f>
        <v>21</v>
      </c>
      <c r="K162" s="4" t="s">
        <v>96</v>
      </c>
      <c r="L162" s="2">
        <f>IF(ISNUMBER('Chemical Data'!L502),'Chemical Data'!L502,"")</f>
        <v>3.62</v>
      </c>
      <c r="M162" s="2">
        <f>IF(ISNUMBER('Chemical Data'!M502),'Chemical Data'!M502,"")</f>
        <v>3.6</v>
      </c>
      <c r="N162" s="4">
        <f>IF(ISNUMBER('Chemical Data'!N502),'Chemical Data'!N502,"")</f>
        <v>425</v>
      </c>
      <c r="O162" s="4" t="str">
        <f>IF(ISNUMBER('Chemical Data'!O502),'Chemical Data'!O502,"")</f>
        <v/>
      </c>
      <c r="P162" s="4" t="str">
        <f>IF(ISNUMBER('Chemical Data'!P502),'Chemical Data'!P502,"")</f>
        <v/>
      </c>
      <c r="Q162" s="4" t="str">
        <f>IF(ISNUMBER('Chemical Data'!Q502),'Chemical Data'!Q502,"")</f>
        <v/>
      </c>
      <c r="R162" s="4">
        <f>IF(ISNUMBER('Chemical Data'!R502),'Chemical Data'!R502,"")</f>
        <v>0</v>
      </c>
      <c r="S162" s="4">
        <f>IF(ISNUMBER('Chemical Data'!S502),'Chemical Data'!S502,"")</f>
        <v>53.2</v>
      </c>
      <c r="T162" s="4">
        <f>IF(ISNUMBER('Chemical Data'!T502),'Chemical Data'!T502,"")</f>
        <v>41.235422157547887</v>
      </c>
      <c r="U162" s="4"/>
      <c r="V162" s="4"/>
      <c r="W162" s="3">
        <f>IF(ISNUMBER('Chemical Data'!W502),'Chemical Data'!W502,"")</f>
        <v>0.3</v>
      </c>
      <c r="X162" s="3">
        <f>IF(ISNUMBER('Chemical Data'!X502),'Chemical Data'!X502,"")</f>
        <v>0.121</v>
      </c>
      <c r="Y162" s="3">
        <f t="shared" ref="Y162" si="114">IF(W162-X162&lt;0,0,W162-X162)</f>
        <v>0.17899999999999999</v>
      </c>
      <c r="Z162" s="3">
        <f>IF(ISNUMBER('Chemical Data'!Z502),'Chemical Data'!Z502,"")</f>
        <v>4.7</v>
      </c>
      <c r="AA162" s="3">
        <f>IF(ISNUMBER('Chemical Data'!AA502),'Chemical Data'!AA502,"")</f>
        <v>1.2929999999999999</v>
      </c>
      <c r="AB162" s="4">
        <f>IF(ISNUMBER('Chemical Data'!AB502),'Chemical Data'!AB502,"")</f>
        <v>1002.6</v>
      </c>
      <c r="AC162" s="4" t="str">
        <f>IF(ISNUMBER('Chemical Data'!AC502),'Chemical Data'!AC502,"")</f>
        <v/>
      </c>
      <c r="AD162" s="4" t="str">
        <f>IF(ISNUMBER('Chemical Data'!AD502),'Chemical Data'!AD502,"")</f>
        <v/>
      </c>
      <c r="AE162" s="4" t="str">
        <f>IF(ISNUMBER('Chemical Data'!AE502),'Chemical Data'!AE502,"")</f>
        <v/>
      </c>
      <c r="AF162" s="4" t="str">
        <f>IF(ISNUMBER('Chemical Data'!AF502),'Chemical Data'!AF502,"")</f>
        <v/>
      </c>
      <c r="AG162" s="4" t="str">
        <f>IF(ISNUMBER('Chemical Data'!AG502),'Chemical Data'!AG502,"")</f>
        <v/>
      </c>
      <c r="AH162" s="4" t="str">
        <f>IF(ISNUMBER('Chemical Data'!AH502),'Chemical Data'!AH502,"")</f>
        <v/>
      </c>
      <c r="AI162" s="4" t="str">
        <f>IF(ISNUMBER('Chemical Data'!AI502),'Chemical Data'!AI502,"")</f>
        <v/>
      </c>
      <c r="AJ162" s="4" t="str">
        <f>IF(ISNUMBER('Chemical Data'!AJ502),'Chemical Data'!AJ502,"")</f>
        <v/>
      </c>
      <c r="AK162" s="4" t="str">
        <f>IF(ISNUMBER('Chemical Data'!AK502),'Chemical Data'!AK502,"")</f>
        <v/>
      </c>
      <c r="AL162" s="4">
        <f>IF(ISNUMBER('Chemical Data'!AL502),'Chemical Data'!AL502,"")</f>
        <v>240</v>
      </c>
      <c r="AM162" s="4" t="str">
        <f>IF(ISNUMBER('Chemical Data'!AM502),'Chemical Data'!AM502,"")</f>
        <v/>
      </c>
      <c r="AN162" s="4">
        <f>IF(ISNUMBER('Chemical Data'!AN502),'Chemical Data'!AN502,"")</f>
        <v>13.406400000000001</v>
      </c>
      <c r="AO162" s="4">
        <f>IF(ISNUMBER('Chemical Data'!AO502),'Chemical Data'!AO502,"")</f>
        <v>7.5600000000000001E-2</v>
      </c>
      <c r="AP162" s="4">
        <f>IF(ISNUMBER('Chemical Data'!AP502),'Chemical Data'!AP502,"")</f>
        <v>1.1844000000000001</v>
      </c>
      <c r="AQ162" s="4">
        <f>IF(ISNUMBER('Chemical Data'!AQ502),'Chemical Data'!AQ502,"")</f>
        <v>0.32583600000000001</v>
      </c>
      <c r="AR162" s="4">
        <f>IF(ISNUMBER('Chemical Data'!AR502),'Chemical Data'!AR502,"")</f>
        <v>252.65520000000004</v>
      </c>
      <c r="AS162" s="4">
        <f>IF(ISNUMBER('Chemical Data'!AS502),'Chemical Data'!AS502,"")</f>
        <v>0</v>
      </c>
    </row>
    <row r="163" spans="1:48" ht="14.25" customHeight="1" x14ac:dyDescent="0.3">
      <c r="A163" s="61">
        <v>45687</v>
      </c>
      <c r="B163" s="74">
        <v>4</v>
      </c>
      <c r="C163" s="61" t="str">
        <f>'Chemical Data'!C503</f>
        <v>PD4</v>
      </c>
      <c r="D163" s="61"/>
      <c r="E163" s="61" t="str">
        <f>'Chemical Data'!E503</f>
        <v>Penn Run AMD -4 South side</v>
      </c>
      <c r="F163" s="61"/>
      <c r="G163" s="61"/>
      <c r="H163" s="61" t="str">
        <f>'Chemical Data'!H503</f>
        <v>Hedin/ICCD</v>
      </c>
      <c r="I163" s="61"/>
      <c r="J163" s="4">
        <f>IF(ISNUMBER('Chemical Data'!J503),'Chemical Data'!J503,"")</f>
        <v>11.1</v>
      </c>
      <c r="K163" s="4" t="s">
        <v>96</v>
      </c>
      <c r="L163" s="2">
        <f>IF(ISNUMBER('Chemical Data'!L503),'Chemical Data'!L503,"")</f>
        <v>3.66</v>
      </c>
      <c r="M163" s="2">
        <f>IF(ISNUMBER('Chemical Data'!M503),'Chemical Data'!M503,"")</f>
        <v>3.6</v>
      </c>
      <c r="N163" s="4">
        <f>IF(ISNUMBER('Chemical Data'!N503),'Chemical Data'!N503,"")</f>
        <v>409</v>
      </c>
      <c r="O163" s="4" t="str">
        <f>IF(ISNUMBER('Chemical Data'!O503),'Chemical Data'!O503,"")</f>
        <v/>
      </c>
      <c r="P163" s="4">
        <f>IF(ISNUMBER('Chemical Data'!P503),'Chemical Data'!P503,"")</f>
        <v>8.9</v>
      </c>
      <c r="Q163" s="4">
        <f>IF(ISNUMBER('Chemical Data'!Q503),'Chemical Data'!Q503,"")</f>
        <v>0</v>
      </c>
      <c r="R163" s="4">
        <f>IF(ISNUMBER('Chemical Data'!R503),'Chemical Data'!R503,"")</f>
        <v>0</v>
      </c>
      <c r="S163" s="4">
        <f>IF(ISNUMBER('Chemical Data'!S503),'Chemical Data'!S503,"")</f>
        <v>50.6</v>
      </c>
      <c r="T163" s="4">
        <f>IF(ISNUMBER('Chemical Data'!T503),'Chemical Data'!T503,"")</f>
        <v>37.812292157547887</v>
      </c>
      <c r="U163" s="4"/>
      <c r="V163" s="4"/>
      <c r="W163" s="3">
        <f>IF(ISNUMBER('Chemical Data'!W503),'Chemical Data'!W503,"")</f>
        <v>0.3</v>
      </c>
      <c r="X163" s="3">
        <f>IF(ISNUMBER('Chemical Data'!X503),'Chemical Data'!X503,"")</f>
        <v>0.05</v>
      </c>
      <c r="Y163" s="3">
        <f t="shared" ref="Y163" si="115">IF(W163-X163&lt;0,0,W163-X163)</f>
        <v>0.25</v>
      </c>
      <c r="Z163" s="3">
        <f>IF(ISNUMBER('Chemical Data'!Z503),'Chemical Data'!Z503,"")</f>
        <v>4.1360000000000001</v>
      </c>
      <c r="AA163" s="3">
        <f>IF(ISNUMBER('Chemical Data'!AA503),'Chemical Data'!AA503,"")</f>
        <v>1.204</v>
      </c>
      <c r="AB163" s="4">
        <f>IF(ISNUMBER('Chemical Data'!AB503),'Chemical Data'!AB503,"")</f>
        <v>129.9</v>
      </c>
      <c r="AC163" s="4" t="str">
        <f>IF(ISNUMBER('Chemical Data'!AC503),'Chemical Data'!AC503,"")</f>
        <v/>
      </c>
      <c r="AD163" s="4" t="str">
        <f>IF(ISNUMBER('Chemical Data'!AD503),'Chemical Data'!AD503,"")</f>
        <v/>
      </c>
      <c r="AE163" s="4" t="str">
        <f>IF(ISNUMBER('Chemical Data'!AE503),'Chemical Data'!AE503,"")</f>
        <v/>
      </c>
      <c r="AF163" s="4" t="str">
        <f>IF(ISNUMBER('Chemical Data'!AF503),'Chemical Data'!AF503,"")</f>
        <v/>
      </c>
      <c r="AG163" s="4" t="str">
        <f>IF(ISNUMBER('Chemical Data'!AG503),'Chemical Data'!AG503,"")</f>
        <v/>
      </c>
      <c r="AH163" s="4" t="str">
        <f>IF(ISNUMBER('Chemical Data'!AH503),'Chemical Data'!AH503,"")</f>
        <v/>
      </c>
      <c r="AI163" s="4" t="str">
        <f>IF(ISNUMBER('Chemical Data'!AI503),'Chemical Data'!AI503,"")</f>
        <v/>
      </c>
      <c r="AJ163" s="4" t="str">
        <f>IF(ISNUMBER('Chemical Data'!AJ503),'Chemical Data'!AJ503,"")</f>
        <v/>
      </c>
      <c r="AK163" s="4" t="str">
        <f>IF(ISNUMBER('Chemical Data'!AK503),'Chemical Data'!AK503,"")</f>
        <v/>
      </c>
      <c r="AL163" s="4">
        <f>IF(ISNUMBER('Chemical Data'!AL503),'Chemical Data'!AL503,"")</f>
        <v>228</v>
      </c>
      <c r="AM163" s="4" t="str">
        <f>IF(ISNUMBER('Chemical Data'!AM503),'Chemical Data'!AM503,"")</f>
        <v/>
      </c>
      <c r="AN163" s="4">
        <f>IF(ISNUMBER('Chemical Data'!AN503),'Chemical Data'!AN503,"")</f>
        <v>6.7399199999999997</v>
      </c>
      <c r="AO163" s="4">
        <f>IF(ISNUMBER('Chemical Data'!AO503),'Chemical Data'!AO503,"")</f>
        <v>3.9959999999999996E-2</v>
      </c>
      <c r="AP163" s="4">
        <f>IF(ISNUMBER('Chemical Data'!AP503),'Chemical Data'!AP503,"")</f>
        <v>0.55091519999999994</v>
      </c>
      <c r="AQ163" s="4">
        <f>IF(ISNUMBER('Chemical Data'!AQ503),'Chemical Data'!AQ503,"")</f>
        <v>0.16037280000000001</v>
      </c>
      <c r="AR163" s="4">
        <f>IF(ISNUMBER('Chemical Data'!AR503),'Chemical Data'!AR503,"")</f>
        <v>17.302680000000002</v>
      </c>
      <c r="AS163" s="4">
        <f>IF(ISNUMBER('Chemical Data'!AS503),'Chemical Data'!AS503,"")</f>
        <v>0</v>
      </c>
    </row>
    <row r="164" spans="1:48" s="7" customFormat="1" x14ac:dyDescent="0.3">
      <c r="A164" s="45" t="s">
        <v>144</v>
      </c>
      <c r="J164" s="20">
        <f>AVERAGE(J150:J163)</f>
        <v>16.355428571428572</v>
      </c>
      <c r="K164" s="4" t="s">
        <v>96</v>
      </c>
      <c r="L164" s="15">
        <f t="shared" ref="L164:T164" si="116">AVERAGE(L150:L163)</f>
        <v>3.4849999999999994</v>
      </c>
      <c r="M164" s="15">
        <f t="shared" si="116"/>
        <v>3.5785714285714292</v>
      </c>
      <c r="N164" s="20">
        <f t="shared" si="116"/>
        <v>456.4785714285714</v>
      </c>
      <c r="O164" s="20">
        <f t="shared" si="116"/>
        <v>428</v>
      </c>
      <c r="P164" s="20">
        <f t="shared" si="116"/>
        <v>10.344444444444445</v>
      </c>
      <c r="Q164" s="20">
        <f t="shared" si="116"/>
        <v>0</v>
      </c>
      <c r="R164" s="20">
        <f t="shared" si="116"/>
        <v>0</v>
      </c>
      <c r="S164" s="20">
        <f t="shared" si="116"/>
        <v>61.057142857142864</v>
      </c>
      <c r="T164" s="20">
        <f t="shared" si="116"/>
        <v>52.657098997961498</v>
      </c>
      <c r="U164" s="20"/>
      <c r="V164" s="20"/>
      <c r="W164" s="30">
        <f t="shared" ref="W164:AL164" si="117">AVERAGE(W150:W163)</f>
        <v>0.96642857142857141</v>
      </c>
      <c r="X164" s="20">
        <f t="shared" si="117"/>
        <v>0.15349999999999997</v>
      </c>
      <c r="Y164" s="30">
        <f t="shared" si="117"/>
        <v>0.81342857142857139</v>
      </c>
      <c r="Z164" s="30">
        <f t="shared" si="117"/>
        <v>5.7085714285714291</v>
      </c>
      <c r="AA164" s="20">
        <f t="shared" si="117"/>
        <v>1.4918571428571428</v>
      </c>
      <c r="AB164" s="20">
        <f t="shared" si="117"/>
        <v>224.8153846153846</v>
      </c>
      <c r="AC164" s="20">
        <f t="shared" si="117"/>
        <v>32.450000000000003</v>
      </c>
      <c r="AD164" s="20">
        <f t="shared" si="117"/>
        <v>12.55</v>
      </c>
      <c r="AE164" s="20">
        <f t="shared" si="117"/>
        <v>2.1150000000000002</v>
      </c>
      <c r="AF164" s="20">
        <f t="shared" si="117"/>
        <v>2.0949999999999998</v>
      </c>
      <c r="AG164" s="20">
        <f t="shared" si="117"/>
        <v>5.6</v>
      </c>
      <c r="AH164" s="20">
        <f t="shared" si="117"/>
        <v>6.4000000000000001E-2</v>
      </c>
      <c r="AI164" s="20">
        <f t="shared" si="117"/>
        <v>0.13400000000000001</v>
      </c>
      <c r="AJ164" s="20">
        <f t="shared" si="117"/>
        <v>0.2</v>
      </c>
      <c r="AK164" s="20" t="e">
        <f t="shared" si="117"/>
        <v>#DIV/0!</v>
      </c>
      <c r="AL164" s="20">
        <f t="shared" si="117"/>
        <v>258.33333333333331</v>
      </c>
      <c r="AM164" s="20"/>
      <c r="AN164" s="20">
        <f t="shared" ref="AN164:AS164" si="118">AVERAGE(AN150:AN163)</f>
        <v>12.218060914285715</v>
      </c>
      <c r="AO164" s="30">
        <f t="shared" si="118"/>
        <v>0.18321466371428574</v>
      </c>
      <c r="AP164" s="30">
        <f t="shared" si="118"/>
        <v>1.1771215028571427</v>
      </c>
      <c r="AQ164" s="20">
        <f t="shared" si="118"/>
        <v>0.30473978571428573</v>
      </c>
      <c r="AR164" s="20">
        <f t="shared" si="118"/>
        <v>45.370394571428569</v>
      </c>
      <c r="AS164" s="20">
        <f t="shared" si="118"/>
        <v>0</v>
      </c>
      <c r="AT164" s="20"/>
      <c r="AU164" s="20"/>
      <c r="AV164" s="20"/>
    </row>
    <row r="165" spans="1:48" s="7" customFormat="1" x14ac:dyDescent="0.3">
      <c r="A165" s="105"/>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1"/>
      <c r="AO165" s="1"/>
      <c r="AP165" s="1"/>
      <c r="AQ165" s="1"/>
      <c r="AR165" s="1"/>
      <c r="AS165" s="1"/>
    </row>
    <row r="166" spans="1:48" customFormat="1" x14ac:dyDescent="0.3">
      <c r="A166" s="5">
        <v>45527</v>
      </c>
      <c r="C166" t="str">
        <f>'Chemical Data'!C444</f>
        <v>MP1.5</v>
      </c>
      <c r="E166" t="str">
        <f>'Chemical Data'!E444</f>
        <v>Penn Run DS of seep</v>
      </c>
      <c r="H166" t="str">
        <f>'Chemical Data'!H444</f>
        <v>HE/ICCD</v>
      </c>
      <c r="J166" s="4">
        <f>IF(ISNUMBER('Chemical Data'!J444),'Chemical Data'!J444,"")</f>
        <v>300</v>
      </c>
      <c r="K166" s="4" t="s">
        <v>96</v>
      </c>
      <c r="L166" s="2">
        <f>IF(ISNUMBER('Chemical Data'!L444),'Chemical Data'!L444,"")</f>
        <v>7.42</v>
      </c>
      <c r="M166" s="2">
        <f>IF(ISNUMBER('Chemical Data'!M444),'Chemical Data'!M444,"")</f>
        <v>6.8</v>
      </c>
      <c r="N166" s="4">
        <f>IF(ISNUMBER('Chemical Data'!N444),'Chemical Data'!N444,"")</f>
        <v>366</v>
      </c>
      <c r="O166" s="38"/>
      <c r="P166" s="4" t="str">
        <f>IF(ISNUMBER('Chemical Data'!O444),'Chemical Data'!O444,"")</f>
        <v/>
      </c>
      <c r="Q166" s="4" t="str">
        <f>IF(ISNUMBER('Chemical Data'!P444),'Chemical Data'!P444,"")</f>
        <v/>
      </c>
      <c r="R166" s="4">
        <f>IF(ISNUMBER('Chemical Data'!R444),'Chemical Data'!R444,"")</f>
        <v>101.4</v>
      </c>
      <c r="S166" s="4">
        <f>IF(ISNUMBER('Chemical Data'!S444),'Chemical Data'!S444,"")</f>
        <v>-82.6</v>
      </c>
      <c r="T166" s="4">
        <f>IF(ISNUMBER('Chemical Data'!T444),'Chemical Data'!T444,"")</f>
        <v>-101.04438905301841</v>
      </c>
      <c r="U166" s="38"/>
      <c r="V166" s="4"/>
      <c r="W166" s="4">
        <f>IF(ISNUMBER('Chemical Data'!W444),'Chemical Data'!W444,"")</f>
        <v>1.2430000000000001</v>
      </c>
      <c r="X166" s="4">
        <f>IF(ISNUMBER('Chemical Data'!X444),'Chemical Data'!X444,"")</f>
        <v>8.8999999999999996E-2</v>
      </c>
      <c r="Y166" s="38"/>
      <c r="Z166" s="4">
        <f>IF(ISNUMBER('Chemical Data'!Z444),'Chemical Data'!Z444,"")</f>
        <v>0.5</v>
      </c>
      <c r="AA166" s="4">
        <f>IF(ISNUMBER('Chemical Data'!AA444),'Chemical Data'!AA444,"")</f>
        <v>0.108</v>
      </c>
      <c r="AB166" s="4">
        <f>IF(ISNUMBER('Chemical Data'!AB444),'Chemical Data'!AB444,"")</f>
        <v>83.6</v>
      </c>
      <c r="AC166" s="4" t="str">
        <f>IF(ISNUMBER('Chemical Data'!AC444),'Chemical Data'!AC444,"")</f>
        <v/>
      </c>
      <c r="AD166" s="4" t="str">
        <f>IF(ISNUMBER('Chemical Data'!AD444),'Chemical Data'!AD444,"")</f>
        <v/>
      </c>
      <c r="AE166" s="4" t="str">
        <f>IF(ISNUMBER('Chemical Data'!AE444),'Chemical Data'!AE444,"")</f>
        <v/>
      </c>
      <c r="AF166" s="4" t="str">
        <f>IF(ISNUMBER('Chemical Data'!AF444),'Chemical Data'!AF444,"")</f>
        <v/>
      </c>
      <c r="AG166" s="4" t="str">
        <f>IF(ISNUMBER('Chemical Data'!AG444),'Chemical Data'!AG444,"")</f>
        <v/>
      </c>
      <c r="AH166" s="4" t="str">
        <f>IF(ISNUMBER('Chemical Data'!AH444),'Chemical Data'!AH444,"")</f>
        <v/>
      </c>
      <c r="AI166" s="4" t="str">
        <f>IF(ISNUMBER('Chemical Data'!AI444),'Chemical Data'!AI444,"")</f>
        <v/>
      </c>
      <c r="AJ166" s="4" t="str">
        <f>IF(ISNUMBER('Chemical Data'!AJ444),'Chemical Data'!AJ444,"")</f>
        <v/>
      </c>
      <c r="AK166" s="4" t="str">
        <f>IF(ISNUMBER('Chemical Data'!AK444),'Chemical Data'!AK444,"")</f>
        <v/>
      </c>
      <c r="AL166" s="4">
        <f>IF(ISNUMBER('Chemical Data'!AL444),'Chemical Data'!AL444,"")</f>
        <v>232</v>
      </c>
      <c r="AM166" s="4" t="str">
        <f>IF(ISNUMBER('Chemical Data'!AM444),'Chemical Data'!AM444,"")</f>
        <v/>
      </c>
      <c r="AN166" s="4">
        <f>IF(ISNUMBER('Chemical Data'!AN444),'Chemical Data'!AN444,"")</f>
        <v>-297.36</v>
      </c>
      <c r="AO166" s="4">
        <f>IF(ISNUMBER('Chemical Data'!AO444),'Chemical Data'!AO444,"")</f>
        <v>4.4748000000000001</v>
      </c>
      <c r="AP166" s="4">
        <f>IF(ISNUMBER('Chemical Data'!AP444),'Chemical Data'!AP444,"")</f>
        <v>1.8</v>
      </c>
      <c r="AQ166" s="4">
        <f>IF(ISNUMBER('Chemical Data'!AQ444),'Chemical Data'!AQ444,"")</f>
        <v>0.38879999999999998</v>
      </c>
      <c r="AR166" s="4">
        <f>IF(ISNUMBER('Chemical Data'!AR444),'Chemical Data'!AR444,"")</f>
        <v>300.95999999999998</v>
      </c>
      <c r="AS166" s="4">
        <f>IF(ISNUMBER('Chemical Data'!AS444),'Chemical Data'!AS444,"")</f>
        <v>365.04</v>
      </c>
      <c r="AT166" s="4" t="str">
        <f>IF(ISNUMBER('Chemical Data'!AT444),'Chemical Data'!AT444,"")</f>
        <v/>
      </c>
    </row>
    <row r="167" spans="1:48" customFormat="1" x14ac:dyDescent="0.3">
      <c r="A167" s="5">
        <v>45595</v>
      </c>
      <c r="C167" t="str">
        <f>'Chemical Data'!C445</f>
        <v>MP1.5</v>
      </c>
      <c r="E167" t="str">
        <f>'Chemical Data'!E445</f>
        <v>Penn Run DS of seep</v>
      </c>
      <c r="H167" t="str">
        <f>'Chemical Data'!H445</f>
        <v>HE/ICCD</v>
      </c>
      <c r="J167" s="4">
        <f>IF(ISNUMBER('Chemical Data'!J445),'Chemical Data'!J445,"")</f>
        <v>520.84</v>
      </c>
      <c r="K167" s="4" t="s">
        <v>96</v>
      </c>
      <c r="L167" s="2">
        <f>IF(ISNUMBER('Chemical Data'!L445),'Chemical Data'!L445,"")</f>
        <v>6.98</v>
      </c>
      <c r="M167" s="2">
        <f>IF(ISNUMBER('Chemical Data'!M445),'Chemical Data'!M445,"")</f>
        <v>7.2</v>
      </c>
      <c r="N167" s="4">
        <f>IF(ISNUMBER('Chemical Data'!N445),'Chemical Data'!N445,"")</f>
        <v>454</v>
      </c>
      <c r="O167" s="38"/>
      <c r="P167" s="4" t="str">
        <f>IF(ISNUMBER('Chemical Data'!O445),'Chemical Data'!O445,"")</f>
        <v/>
      </c>
      <c r="Q167" s="4">
        <f>IF(ISNUMBER('Chemical Data'!P445),'Chemical Data'!P445,"")</f>
        <v>12.6</v>
      </c>
      <c r="R167" s="4">
        <f>IF(ISNUMBER('Chemical Data'!R445),'Chemical Data'!R445,"")</f>
        <v>118.6</v>
      </c>
      <c r="S167" s="4">
        <f>IF(ISNUMBER('Chemical Data'!S445),'Chemical Data'!S445,"")</f>
        <v>-98.2</v>
      </c>
      <c r="T167" s="4">
        <f>IF(ISNUMBER('Chemical Data'!T445),'Chemical Data'!T445,"")</f>
        <v>-113.42002435725975</v>
      </c>
      <c r="U167" s="38"/>
      <c r="V167" s="4"/>
      <c r="W167" s="4">
        <f>IF(ISNUMBER('Chemical Data'!W445),'Chemical Data'!W445,"")</f>
        <v>2.7829999999999999</v>
      </c>
      <c r="X167" s="4">
        <f>IF(ISNUMBER('Chemical Data'!X445),'Chemical Data'!X445,"")</f>
        <v>0.126</v>
      </c>
      <c r="Y167" s="38"/>
      <c r="Z167" s="4">
        <f>IF(ISNUMBER('Chemical Data'!Z445),'Chemical Data'!Z445,"")</f>
        <v>0.5</v>
      </c>
      <c r="AA167" s="4">
        <f>IF(ISNUMBER('Chemical Data'!AA445),'Chemical Data'!AA445,"")</f>
        <v>0.19400000000000001</v>
      </c>
      <c r="AB167" s="4">
        <f>IF(ISNUMBER('Chemical Data'!AB445),'Chemical Data'!AB445,"")</f>
        <v>83.2</v>
      </c>
      <c r="AC167" s="4" t="str">
        <f>IF(ISNUMBER('Chemical Data'!AC445),'Chemical Data'!AC445,"")</f>
        <v/>
      </c>
      <c r="AD167" s="4" t="str">
        <f>IF(ISNUMBER('Chemical Data'!AD445),'Chemical Data'!AD445,"")</f>
        <v/>
      </c>
      <c r="AE167" s="4" t="str">
        <f>IF(ISNUMBER('Chemical Data'!AE445),'Chemical Data'!AE445,"")</f>
        <v/>
      </c>
      <c r="AF167" s="4" t="str">
        <f>IF(ISNUMBER('Chemical Data'!AF445),'Chemical Data'!AF445,"")</f>
        <v/>
      </c>
      <c r="AG167" s="4" t="str">
        <f>IF(ISNUMBER('Chemical Data'!AG445),'Chemical Data'!AG445,"")</f>
        <v/>
      </c>
      <c r="AH167" s="4" t="str">
        <f>IF(ISNUMBER('Chemical Data'!AH445),'Chemical Data'!AH445,"")</f>
        <v/>
      </c>
      <c r="AI167" s="4" t="str">
        <f>IF(ISNUMBER('Chemical Data'!AI445),'Chemical Data'!AI445,"")</f>
        <v/>
      </c>
      <c r="AJ167" s="4" t="str">
        <f>IF(ISNUMBER('Chemical Data'!AJ445),'Chemical Data'!AJ445,"")</f>
        <v/>
      </c>
      <c r="AK167" s="4" t="str">
        <f>IF(ISNUMBER('Chemical Data'!AK445),'Chemical Data'!AK445,"")</f>
        <v/>
      </c>
      <c r="AL167" s="4">
        <f>IF(ISNUMBER('Chemical Data'!AL445),'Chemical Data'!AL445,"")</f>
        <v>274</v>
      </c>
      <c r="AM167" s="4" t="str">
        <f>IF(ISNUMBER('Chemical Data'!AM445),'Chemical Data'!AM445,"")</f>
        <v/>
      </c>
      <c r="AN167" s="4">
        <f>IF(ISNUMBER('Chemical Data'!AN445),'Chemical Data'!AN445,"")</f>
        <v>-613.75785600000006</v>
      </c>
      <c r="AO167" s="4">
        <f>IF(ISNUMBER('Chemical Data'!AO445),'Chemical Data'!AO445,"")</f>
        <v>17.393972640000001</v>
      </c>
      <c r="AP167" s="4">
        <f>IF(ISNUMBER('Chemical Data'!AP445),'Chemical Data'!AP445,"")</f>
        <v>3.1250400000000003</v>
      </c>
      <c r="AQ167" s="4">
        <f>IF(ISNUMBER('Chemical Data'!AQ445),'Chemical Data'!AQ445,"")</f>
        <v>1.2125155200000002</v>
      </c>
      <c r="AR167" s="4">
        <f>IF(ISNUMBER('Chemical Data'!AR445),'Chemical Data'!AR445,"")</f>
        <v>520.00665600000013</v>
      </c>
      <c r="AS167" s="4">
        <f>IF(ISNUMBER('Chemical Data'!AS445),'Chemical Data'!AS445,"")</f>
        <v>741.25948800000003</v>
      </c>
      <c r="AT167" s="4" t="str">
        <f>IF(ISNUMBER('Chemical Data'!AT445),'Chemical Data'!AT445,"")</f>
        <v/>
      </c>
    </row>
    <row r="168" spans="1:48" s="7" customFormat="1" x14ac:dyDescent="0.3">
      <c r="A168" s="45" t="s">
        <v>144</v>
      </c>
      <c r="J168" s="19">
        <f>AVERAGE(J166:J167)</f>
        <v>410.42</v>
      </c>
      <c r="K168" s="19" t="e">
        <f t="shared" ref="K168:AS168" si="119">AVERAGE(K166:K167)</f>
        <v>#DIV/0!</v>
      </c>
      <c r="L168" s="19">
        <f t="shared" si="119"/>
        <v>7.2</v>
      </c>
      <c r="M168" s="19">
        <f t="shared" si="119"/>
        <v>7</v>
      </c>
      <c r="N168" s="19">
        <f t="shared" si="119"/>
        <v>410</v>
      </c>
      <c r="O168" s="19" t="e">
        <f t="shared" si="119"/>
        <v>#DIV/0!</v>
      </c>
      <c r="P168" s="19" t="e">
        <f t="shared" si="119"/>
        <v>#DIV/0!</v>
      </c>
      <c r="Q168" s="19">
        <f t="shared" si="119"/>
        <v>12.6</v>
      </c>
      <c r="R168" s="19">
        <f t="shared" si="119"/>
        <v>110</v>
      </c>
      <c r="S168" s="19">
        <f t="shared" si="119"/>
        <v>-90.4</v>
      </c>
      <c r="T168" s="19">
        <f t="shared" si="119"/>
        <v>-107.23220670513908</v>
      </c>
      <c r="U168" s="19"/>
      <c r="V168" s="19"/>
      <c r="W168" s="19">
        <f t="shared" si="119"/>
        <v>2.0129999999999999</v>
      </c>
      <c r="X168" s="19">
        <f t="shared" si="119"/>
        <v>0.1075</v>
      </c>
      <c r="Y168" s="19" t="e">
        <f t="shared" si="119"/>
        <v>#DIV/0!</v>
      </c>
      <c r="Z168" s="19">
        <f t="shared" si="119"/>
        <v>0.5</v>
      </c>
      <c r="AA168" s="19">
        <f t="shared" si="119"/>
        <v>0.151</v>
      </c>
      <c r="AB168" s="19">
        <f t="shared" si="119"/>
        <v>83.4</v>
      </c>
      <c r="AC168" s="19" t="e">
        <f t="shared" si="119"/>
        <v>#DIV/0!</v>
      </c>
      <c r="AD168" s="19" t="e">
        <f t="shared" si="119"/>
        <v>#DIV/0!</v>
      </c>
      <c r="AE168" s="19" t="e">
        <f t="shared" si="119"/>
        <v>#DIV/0!</v>
      </c>
      <c r="AF168" s="19" t="e">
        <f t="shared" si="119"/>
        <v>#DIV/0!</v>
      </c>
      <c r="AG168" s="19" t="e">
        <f t="shared" si="119"/>
        <v>#DIV/0!</v>
      </c>
      <c r="AH168" s="19" t="e">
        <f t="shared" si="119"/>
        <v>#DIV/0!</v>
      </c>
      <c r="AI168" s="19" t="e">
        <f t="shared" si="119"/>
        <v>#DIV/0!</v>
      </c>
      <c r="AJ168" s="19" t="e">
        <f t="shared" si="119"/>
        <v>#DIV/0!</v>
      </c>
      <c r="AK168" s="19" t="e">
        <f t="shared" si="119"/>
        <v>#DIV/0!</v>
      </c>
      <c r="AL168" s="19">
        <f t="shared" si="119"/>
        <v>253</v>
      </c>
      <c r="AM168" s="19" t="e">
        <f t="shared" si="119"/>
        <v>#DIV/0!</v>
      </c>
      <c r="AN168" s="19">
        <f t="shared" si="119"/>
        <v>-455.55892800000004</v>
      </c>
      <c r="AO168" s="19">
        <f t="shared" si="119"/>
        <v>10.934386320000002</v>
      </c>
      <c r="AP168" s="19">
        <f t="shared" si="119"/>
        <v>2.46252</v>
      </c>
      <c r="AQ168" s="19">
        <f t="shared" si="119"/>
        <v>0.80065776000000011</v>
      </c>
      <c r="AR168" s="19">
        <f t="shared" si="119"/>
        <v>410.48332800000003</v>
      </c>
      <c r="AS168" s="19">
        <f t="shared" si="119"/>
        <v>553.14974400000006</v>
      </c>
      <c r="AT168" s="19"/>
    </row>
    <row r="169" spans="1:48" customFormat="1" x14ac:dyDescent="0.3">
      <c r="A169" s="5"/>
      <c r="J169" s="4"/>
      <c r="K169" s="4"/>
      <c r="L169" s="2"/>
      <c r="M169" s="2"/>
      <c r="N169" s="4"/>
      <c r="O169" s="38"/>
      <c r="P169" s="4"/>
      <c r="Q169" s="4"/>
      <c r="R169" s="4"/>
      <c r="S169" s="4"/>
      <c r="T169" s="4"/>
      <c r="U169" s="38"/>
      <c r="V169" s="4"/>
      <c r="W169" s="4"/>
      <c r="X169" s="4"/>
      <c r="Y169" s="38"/>
      <c r="Z169" s="4"/>
      <c r="AA169" s="4"/>
      <c r="AB169" s="4"/>
      <c r="AC169" s="4"/>
      <c r="AD169" s="4"/>
      <c r="AE169" s="4"/>
      <c r="AF169" s="4"/>
      <c r="AG169" s="4"/>
      <c r="AH169" s="4"/>
      <c r="AI169" s="4"/>
      <c r="AJ169" s="4"/>
      <c r="AK169" s="4"/>
      <c r="AL169" s="4"/>
      <c r="AM169" s="4"/>
      <c r="AN169" s="4"/>
      <c r="AO169" s="4"/>
      <c r="AP169" s="4"/>
      <c r="AQ169" s="4"/>
      <c r="AR169" s="4"/>
      <c r="AS169" s="4"/>
      <c r="AT169" s="4"/>
    </row>
    <row r="170" spans="1:48" ht="14.25" customHeight="1" x14ac:dyDescent="0.3">
      <c r="A170" s="61">
        <f>'Chemical Data'!A442</f>
        <v>45169</v>
      </c>
      <c r="B170" s="61" t="str">
        <f>'Chemical Data'!B442</f>
        <v>011</v>
      </c>
      <c r="C170" s="61" t="str">
        <f>'Chemical Data'!C442</f>
        <v>PR1</v>
      </c>
      <c r="D170" s="61"/>
      <c r="E170" s="61" t="str">
        <f>'Chemical Data'!E442</f>
        <v>Penn Run refuse seep</v>
      </c>
      <c r="F170" s="61"/>
      <c r="G170" s="61"/>
      <c r="H170" s="61" t="str">
        <f>'Chemical Data'!H442</f>
        <v>SFU</v>
      </c>
      <c r="I170" s="74"/>
      <c r="J170" s="4" t="str">
        <f>IF(ISNUMBER('Chemical Data'!J442),'Chemical Data'!J442,"")</f>
        <v/>
      </c>
      <c r="K170" s="4" t="str">
        <f>IF(ISNUMBER('Chemical Data'!K442),'Chemical Data'!K442,"")</f>
        <v/>
      </c>
      <c r="L170" s="2">
        <f>IF(ISNUMBER('Chemical Data'!L442),'Chemical Data'!L442,"")</f>
        <v>7.3</v>
      </c>
      <c r="M170" s="2">
        <f>IF(ISNUMBER('Chemical Data'!M442),'Chemical Data'!M442,"")</f>
        <v>6.8</v>
      </c>
      <c r="N170" s="4">
        <f>IF(ISNUMBER('Chemical Data'!N442),'Chemical Data'!N442,"")</f>
        <v>322</v>
      </c>
      <c r="O170" s="4">
        <f>IF(ISNUMBER('Chemical Data'!O442),'Chemical Data'!O442,"")</f>
        <v>315</v>
      </c>
      <c r="P170" s="4" t="str">
        <f>IF(ISNUMBER('Chemical Data'!P442),'Chemical Data'!P442,"")</f>
        <v/>
      </c>
      <c r="Q170" s="4" t="str">
        <f>IF(ISNUMBER('Chemical Data'!Q442),'Chemical Data'!Q442,"")</f>
        <v/>
      </c>
      <c r="R170" s="4">
        <f>IF(ISNUMBER('Chemical Data'!R442),'Chemical Data'!R442,"")</f>
        <v>77.8</v>
      </c>
      <c r="S170" s="4">
        <f>IF(ISNUMBER('Chemical Data'!S442),'Chemical Data'!S442,"")</f>
        <v>-59.6</v>
      </c>
      <c r="T170" s="4">
        <f>IF(ISNUMBER('Chemical Data'!T442),'Chemical Data'!T442,"")</f>
        <v>-77.003624063831865</v>
      </c>
      <c r="U170" s="4"/>
      <c r="V170" s="4"/>
      <c r="W170" s="4">
        <f>IF(ISNUMBER('Chemical Data'!W442),'Chemical Data'!W442,"")</f>
        <v>1.21</v>
      </c>
      <c r="X170" s="4">
        <f>IF(ISNUMBER('Chemical Data'!X442),'Chemical Data'!X442,"")</f>
        <v>0.35299999999999998</v>
      </c>
      <c r="Y170" s="4"/>
      <c r="Z170" s="3">
        <f>IF(ISNUMBER('Chemical Data'!Z442),'Chemical Data'!Z442,"")</f>
        <v>0.3</v>
      </c>
      <c r="AA170" s="4">
        <f>IF(ISNUMBER('Chemical Data'!AA442),'Chemical Data'!AA442,"")</f>
        <v>0.09</v>
      </c>
      <c r="AB170" s="4">
        <f>IF(ISNUMBER('Chemical Data'!AB442),'Chemical Data'!AB442,"")</f>
        <v>47.15</v>
      </c>
      <c r="AC170" s="4">
        <f>IF(ISNUMBER('Chemical Data'!AC442),'Chemical Data'!AC442,"")</f>
        <v>38</v>
      </c>
      <c r="AD170" s="4">
        <f>IF(ISNUMBER('Chemical Data'!AD442),'Chemical Data'!AD442,"")</f>
        <v>10.8</v>
      </c>
      <c r="AE170" s="4">
        <f>IF(ISNUMBER('Chemical Data'!AE442),'Chemical Data'!AE442,"")</f>
        <v>8.6</v>
      </c>
      <c r="AF170" s="4">
        <f>IF(ISNUMBER('Chemical Data'!AF442),'Chemical Data'!AF442,"")</f>
        <v>2.0699999999999998</v>
      </c>
      <c r="AG170" s="4">
        <f>IF(ISNUMBER('Chemical Data'!AG442),'Chemical Data'!AG442,"")</f>
        <v>15.4</v>
      </c>
      <c r="AH170" s="4">
        <f>IF(ISNUMBER('Chemical Data'!AH442),'Chemical Data'!AH442,"")</f>
        <v>0.05</v>
      </c>
      <c r="AI170" s="4">
        <f>IF(ISNUMBER('Chemical Data'!AI442),'Chemical Data'!AI442,"")</f>
        <v>0.03</v>
      </c>
      <c r="AJ170" s="4">
        <f>IF(ISNUMBER('Chemical Data'!AJ442),'Chemical Data'!AJ442,"")</f>
        <v>0.2</v>
      </c>
      <c r="AK170" s="4"/>
      <c r="AL170" s="4"/>
      <c r="AM170" s="4" t="str">
        <f>IF(ISNUMBER('Chemical Data'!AM442),'Chemical Data'!AM442,"")</f>
        <v/>
      </c>
      <c r="AN170" s="4" t="str">
        <f>IF(ISNUMBER('Chemical Data'!AN442),'Chemical Data'!AN442,"")</f>
        <v/>
      </c>
      <c r="AO170" s="4" t="str">
        <f>IF(ISNUMBER('Chemical Data'!AO442),'Chemical Data'!AO442,"")</f>
        <v/>
      </c>
      <c r="AP170" s="4" t="str">
        <f>IF(ISNUMBER('Chemical Data'!AP442),'Chemical Data'!AP442,"")</f>
        <v/>
      </c>
      <c r="AQ170" s="4" t="str">
        <f>IF(ISNUMBER('Chemical Data'!AQ442),'Chemical Data'!AQ442,"")</f>
        <v/>
      </c>
      <c r="AR170" s="4" t="str">
        <f>IF(ISNUMBER('Chemical Data'!AR442),'Chemical Data'!AR442,"")</f>
        <v/>
      </c>
      <c r="AS170" s="1"/>
    </row>
    <row r="171" spans="1:48" customFormat="1" x14ac:dyDescent="0.3">
      <c r="A171" s="5">
        <v>45527</v>
      </c>
      <c r="C171" t="s">
        <v>411</v>
      </c>
      <c r="E171" t="s">
        <v>377</v>
      </c>
      <c r="H171" t="s">
        <v>143</v>
      </c>
      <c r="J171" s="4">
        <v>22</v>
      </c>
      <c r="K171" s="4" t="s">
        <v>106</v>
      </c>
      <c r="L171" s="2"/>
      <c r="M171" s="2"/>
      <c r="N171" s="4"/>
      <c r="O171" s="38"/>
      <c r="P171" s="4"/>
      <c r="Q171" s="4"/>
      <c r="R171" s="4">
        <v>60.963636363636603</v>
      </c>
      <c r="S171" s="4">
        <v>-57.327272727272835</v>
      </c>
      <c r="T171" s="4"/>
      <c r="U171" s="38"/>
      <c r="V171" s="4"/>
      <c r="W171" s="4">
        <v>13.159090909090908</v>
      </c>
      <c r="X171" s="2"/>
      <c r="Y171" s="38"/>
      <c r="Z171" s="3">
        <v>0.50000000000000044</v>
      </c>
      <c r="AA171" s="3">
        <v>0.84090909090909072</v>
      </c>
      <c r="AB171" s="4">
        <v>323.69090909090903</v>
      </c>
      <c r="AC171" s="4"/>
      <c r="AD171" s="4"/>
      <c r="AE171" s="4"/>
      <c r="AF171" s="4"/>
      <c r="AG171" s="4"/>
      <c r="AH171" s="4"/>
      <c r="AI171" s="4"/>
      <c r="AJ171" s="4"/>
      <c r="AK171" s="4"/>
      <c r="AL171" s="4"/>
      <c r="AM171" s="4"/>
      <c r="AN171" s="4">
        <v>-15.134400000000028</v>
      </c>
      <c r="AO171" s="4">
        <v>3.4740000000000002</v>
      </c>
      <c r="AP171" s="4">
        <v>0.13200000000000012</v>
      </c>
      <c r="AQ171" s="4">
        <v>0.22199999999999998</v>
      </c>
      <c r="AR171" s="4">
        <v>85.454399999999993</v>
      </c>
      <c r="AS171" s="4">
        <v>16.094400000000064</v>
      </c>
      <c r="AT171" s="4"/>
    </row>
    <row r="172" spans="1:48" customFormat="1" x14ac:dyDescent="0.3">
      <c r="A172" s="5">
        <v>45595</v>
      </c>
      <c r="C172" t="s">
        <v>411</v>
      </c>
      <c r="E172" t="s">
        <v>377</v>
      </c>
      <c r="H172" t="s">
        <v>143</v>
      </c>
      <c r="J172" s="4">
        <v>317.61</v>
      </c>
      <c r="K172" s="4" t="s">
        <v>106</v>
      </c>
      <c r="L172" s="2"/>
      <c r="M172" s="2"/>
      <c r="N172" s="4"/>
      <c r="O172" s="38"/>
      <c r="P172" s="4"/>
      <c r="Q172" s="4"/>
      <c r="R172" s="4">
        <v>111.56139920027708</v>
      </c>
      <c r="S172" s="4">
        <v>-90.137602720317375</v>
      </c>
      <c r="T172" s="4"/>
      <c r="U172" s="38"/>
      <c r="V172" s="4"/>
      <c r="W172" s="4">
        <v>4.3718041623374582</v>
      </c>
      <c r="X172" s="2"/>
      <c r="Y172" s="38"/>
      <c r="Z172" s="3">
        <v>0.50000000000000011</v>
      </c>
      <c r="AA172" s="3">
        <v>0.2861416831963729</v>
      </c>
      <c r="AB172" s="4"/>
      <c r="AC172" s="4"/>
      <c r="AD172" s="4"/>
      <c r="AE172" s="4"/>
      <c r="AF172" s="4"/>
      <c r="AG172" s="4"/>
      <c r="AH172" s="4"/>
      <c r="AI172" s="4"/>
      <c r="AJ172" s="4"/>
      <c r="AK172" s="4"/>
      <c r="AL172" s="4"/>
      <c r="AM172" s="4"/>
      <c r="AN172" s="4">
        <v>-343.54324800000006</v>
      </c>
      <c r="AO172" s="4">
        <v>16.662344640000001</v>
      </c>
      <c r="AP172" s="4">
        <v>1.9056600000000004</v>
      </c>
      <c r="AQ172" s="4">
        <v>1.0905775200000001</v>
      </c>
      <c r="AR172" s="4"/>
      <c r="AS172" s="4">
        <v>425.19619200000005</v>
      </c>
      <c r="AT172" s="4"/>
    </row>
    <row r="173" spans="1:48" s="7" customFormat="1" x14ac:dyDescent="0.3">
      <c r="A173" s="45" t="s">
        <v>144</v>
      </c>
      <c r="J173" s="19">
        <f>AVERAGE(J171:J172)</f>
        <v>169.80500000000001</v>
      </c>
      <c r="K173" s="19"/>
      <c r="L173" s="15"/>
      <c r="M173" s="15"/>
      <c r="N173" s="19"/>
      <c r="O173" s="104"/>
      <c r="P173" s="19"/>
      <c r="Q173" s="19"/>
      <c r="R173" s="19">
        <f>AVERAGE(R170:R172)</f>
        <v>83.441678521304553</v>
      </c>
      <c r="S173" s="19">
        <f>AVERAGE(S170:S172)</f>
        <v>-69.021625149196737</v>
      </c>
      <c r="T173" s="19"/>
      <c r="U173" s="104"/>
      <c r="V173" s="19"/>
      <c r="W173" s="19">
        <f>AVERAGE(W170:W172)</f>
        <v>6.2469650238094552</v>
      </c>
      <c r="X173" s="104"/>
      <c r="Y173" s="104"/>
      <c r="Z173" s="32">
        <f>AVERAGE(Z170:Z172)</f>
        <v>0.43333333333333357</v>
      </c>
      <c r="AA173" s="32">
        <f t="shared" ref="AA173:AB173" si="120">AVERAGE(AA170:AA172)</f>
        <v>0.40568359136848792</v>
      </c>
      <c r="AB173" s="32">
        <f t="shared" si="120"/>
        <v>185.4204545454545</v>
      </c>
      <c r="AC173" s="19"/>
      <c r="AD173" s="19"/>
      <c r="AE173" s="19"/>
      <c r="AF173" s="19"/>
      <c r="AG173" s="19"/>
      <c r="AH173" s="19"/>
      <c r="AI173" s="19"/>
      <c r="AJ173" s="19"/>
      <c r="AK173" s="19"/>
      <c r="AL173" s="19"/>
      <c r="AM173" s="19"/>
      <c r="AN173" s="19">
        <f>AVERAGE(AN171:AN172)</f>
        <v>-179.33882400000005</v>
      </c>
      <c r="AO173" s="19">
        <f t="shared" ref="AO173:AS173" si="121">AVERAGE(AO171:AO172)</f>
        <v>10.06817232</v>
      </c>
      <c r="AP173" s="19">
        <f t="shared" si="121"/>
        <v>1.0188300000000003</v>
      </c>
      <c r="AQ173" s="19">
        <f t="shared" si="121"/>
        <v>0.65628876000000003</v>
      </c>
      <c r="AR173" s="19">
        <f t="shared" si="121"/>
        <v>85.454399999999993</v>
      </c>
      <c r="AS173" s="19">
        <f t="shared" si="121"/>
        <v>220.64529600000006</v>
      </c>
      <c r="AT173" s="19"/>
    </row>
    <row r="174" spans="1:48" ht="14.25" customHeight="1" x14ac:dyDescent="0.3">
      <c r="A174" s="61"/>
      <c r="B174" s="61"/>
      <c r="C174" s="61"/>
      <c r="D174" s="61"/>
      <c r="E174" s="61"/>
      <c r="F174" s="61"/>
      <c r="G174" s="61"/>
      <c r="H174" s="61"/>
      <c r="I174" s="61"/>
      <c r="J174" s="4"/>
      <c r="K174" s="4"/>
      <c r="L174" s="2"/>
      <c r="M174" s="2"/>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c r="AS174" s="1"/>
    </row>
    <row r="175" spans="1:48" ht="14.25" customHeight="1" x14ac:dyDescent="0.3">
      <c r="A175" s="61">
        <f>'Chemical Data'!A434</f>
        <v>44964</v>
      </c>
      <c r="B175" s="61" t="str">
        <f>'Chemical Data'!B434</f>
        <v>050</v>
      </c>
      <c r="C175" s="61" t="str">
        <f>'Chemical Data'!C434</f>
        <v>Penn2</v>
      </c>
      <c r="D175" s="61"/>
      <c r="E175" s="61" t="str">
        <f>'Chemical Data'!E434</f>
        <v>Penn Run upstream TMDL</v>
      </c>
      <c r="F175" s="61"/>
      <c r="G175" s="61"/>
      <c r="H175" s="61" t="str">
        <f>'Chemical Data'!H434</f>
        <v>Hedin/ ICCD</v>
      </c>
      <c r="I175" s="38"/>
      <c r="J175" s="4">
        <f>IF(ISNUMBER('Chemical Data'!J434),'Chemical Data'!J434,"")</f>
        <v>1302</v>
      </c>
      <c r="K175" s="4" t="str">
        <f>IF(ISNUMBER('Chemical Data'!K434),'Chemical Data'!K434,"")</f>
        <v/>
      </c>
      <c r="L175" s="2">
        <f>IF(ISNUMBER('Chemical Data'!L434),'Chemical Data'!L434,"")</f>
        <v>7.8</v>
      </c>
      <c r="M175" s="2">
        <f>IF(ISNUMBER('Chemical Data'!M434),'Chemical Data'!M434,"")</f>
        <v>7.4</v>
      </c>
      <c r="N175" s="4">
        <f>IF(ISNUMBER('Chemical Data'!N434),'Chemical Data'!N434,"")</f>
        <v>260</v>
      </c>
      <c r="O175" s="4">
        <f>IF(ISNUMBER('Chemical Data'!O434),'Chemical Data'!O434,"")</f>
        <v>259</v>
      </c>
      <c r="P175" s="4" t="str">
        <f>IF(ISNUMBER('Chemical Data'!P434),'Chemical Data'!P434,"")</f>
        <v/>
      </c>
      <c r="Q175" s="4" t="str">
        <f>IF(ISNUMBER('Chemical Data'!Q434),'Chemical Data'!Q434,"")</f>
        <v/>
      </c>
      <c r="R175" s="4">
        <f>IF(ISNUMBER('Chemical Data'!R434),'Chemical Data'!R434,"")</f>
        <v>57.8</v>
      </c>
      <c r="S175" s="4">
        <f>IF(ISNUMBER('Chemical Data'!S434),'Chemical Data'!S434,"")</f>
        <v>-50.8</v>
      </c>
      <c r="T175" s="4">
        <f>IF(ISNUMBER('Chemical Data'!T434),'Chemical Data'!T434,"")</f>
        <v>-57.648507553403768</v>
      </c>
      <c r="U175" s="4"/>
      <c r="V175" s="4"/>
      <c r="W175" s="3">
        <f>IF(ISNUMBER('Chemical Data'!W434),'Chemical Data'!W434,"")</f>
        <v>0.1</v>
      </c>
      <c r="X175" s="3">
        <f>IF(ISNUMBER('Chemical Data'!X434),'Chemical Data'!X434,"")</f>
        <v>0.05</v>
      </c>
      <c r="Y175" s="3"/>
      <c r="Z175" s="3" t="str">
        <f>IF(ISNUMBER('Chemical Data'!Z434),'Chemical Data'!Z434,"")</f>
        <v/>
      </c>
      <c r="AA175" s="3">
        <f>IF(ISNUMBER('Chemical Data'!AA434),'Chemical Data'!AA434,"")</f>
        <v>3.4000000000000002E-2</v>
      </c>
      <c r="AB175" s="4">
        <f>IF(ISNUMBER('Chemical Data'!AB434),'Chemical Data'!AB434,"")</f>
        <v>37.450000000000003</v>
      </c>
      <c r="AC175" s="4">
        <f>IF(ISNUMBER('Chemical Data'!AC434),'Chemical Data'!AC434,"")</f>
        <v>26.79</v>
      </c>
      <c r="AD175" s="4">
        <f>IF(ISNUMBER('Chemical Data'!AD434),'Chemical Data'!AD434,"")</f>
        <v>7.96</v>
      </c>
      <c r="AE175" s="4">
        <f>IF(ISNUMBER('Chemical Data'!AE434),'Chemical Data'!AE434,"")</f>
        <v>9.0299999999999994</v>
      </c>
      <c r="AF175" s="4">
        <f>IF(ISNUMBER('Chemical Data'!AF434),'Chemical Data'!AF434,"")</f>
        <v>1.58</v>
      </c>
      <c r="AG175" s="4">
        <f>IF(ISNUMBER('Chemical Data'!AG434),'Chemical Data'!AG434,"")</f>
        <v>16.899999999999999</v>
      </c>
      <c r="AH175" s="4" t="str">
        <f>IF(ISNUMBER('Chemical Data'!AH434),'Chemical Data'!AH434,"")</f>
        <v/>
      </c>
      <c r="AI175" s="4" t="str">
        <f>IF(ISNUMBER('Chemical Data'!AI434),'Chemical Data'!AI434,"")</f>
        <v/>
      </c>
      <c r="AJ175" s="4" t="str">
        <f>IF(ISNUMBER('Chemical Data'!AJ434),'Chemical Data'!AJ434,"")</f>
        <v/>
      </c>
      <c r="AK175" s="4"/>
      <c r="AL175" s="4"/>
      <c r="AM175" s="4" t="str">
        <f>IF(ISNUMBER('Chemical Data'!AM434),'Chemical Data'!AM434,"")</f>
        <v/>
      </c>
      <c r="AN175" s="4">
        <f>IF(ISNUMBER('Chemical Data'!AN434),'Chemical Data'!AN434,"")</f>
        <v>-793.69919999999991</v>
      </c>
      <c r="AO175" s="4">
        <f>IF(ISNUMBER('Chemical Data'!AO434),'Chemical Data'!AO434,"")</f>
        <v>1.5624000000000002</v>
      </c>
      <c r="AP175" s="4" t="str">
        <f>IF(ISNUMBER('Chemical Data'!AP434),'Chemical Data'!AP434,"")</f>
        <v/>
      </c>
      <c r="AQ175" s="4">
        <f>IF(ISNUMBER('Chemical Data'!AQ434),'Chemical Data'!AQ434,"")</f>
        <v>0.53121600000000002</v>
      </c>
      <c r="AR175" s="4">
        <f>IF(ISNUMBER('Chemical Data'!AR434),'Chemical Data'!AR434,"")</f>
        <v>585.11880000000008</v>
      </c>
      <c r="AS175" s="1">
        <f t="shared" si="17"/>
        <v>903.06719999999996</v>
      </c>
      <c r="AT175" s="4" t="str">
        <f>IF(ISNUMBER('Chemical Data'!AT434),'Chemical Data'!AT434,"")</f>
        <v/>
      </c>
      <c r="AU175" s="4" t="str">
        <f>IF(ISNUMBER('Chemical Data'!AU434),'Chemical Data'!AU434,"")</f>
        <v/>
      </c>
    </row>
    <row r="176" spans="1:48" ht="14.25" customHeight="1" x14ac:dyDescent="0.3">
      <c r="A176" s="61">
        <f>'Chemical Data'!A435</f>
        <v>45022</v>
      </c>
      <c r="B176" s="61" t="str">
        <f>'Chemical Data'!B435</f>
        <v>007</v>
      </c>
      <c r="C176" s="61" t="str">
        <f>'Chemical Data'!C435</f>
        <v>MP1</v>
      </c>
      <c r="D176" s="61"/>
      <c r="E176" s="61" t="str">
        <f>'Chemical Data'!E435</f>
        <v>Penn Run upstream TMDL</v>
      </c>
      <c r="F176" s="61"/>
      <c r="G176" s="61"/>
      <c r="H176" s="61" t="str">
        <f>'Chemical Data'!H435</f>
        <v>SFU</v>
      </c>
      <c r="I176" s="38"/>
      <c r="J176" s="4">
        <f>IF(ISNUMBER('Chemical Data'!J435),'Chemical Data'!J435,"")</f>
        <v>1567</v>
      </c>
      <c r="K176" s="4" t="str">
        <f>IF(ISNUMBER('Chemical Data'!K435),'Chemical Data'!K435,"")</f>
        <v/>
      </c>
      <c r="L176" s="2">
        <f>IF(ISNUMBER('Chemical Data'!L435),'Chemical Data'!L435,"")</f>
        <v>7.49</v>
      </c>
      <c r="M176" s="2">
        <f>IF(ISNUMBER('Chemical Data'!M435),'Chemical Data'!M435,"")</f>
        <v>6.5</v>
      </c>
      <c r="N176" s="4">
        <f>IF(ISNUMBER('Chemical Data'!N435),'Chemical Data'!N435,"")</f>
        <v>224</v>
      </c>
      <c r="O176" s="4">
        <f>IF(ISNUMBER('Chemical Data'!O435),'Chemical Data'!O435,"")</f>
        <v>238</v>
      </c>
      <c r="P176" s="4" t="str">
        <f>IF(ISNUMBER('Chemical Data'!P435),'Chemical Data'!P435,"")</f>
        <v/>
      </c>
      <c r="Q176" s="4" t="str">
        <f>IF(ISNUMBER('Chemical Data'!Q435),'Chemical Data'!Q435,"")</f>
        <v/>
      </c>
      <c r="R176" s="4">
        <f>IF(ISNUMBER('Chemical Data'!R435),'Chemical Data'!R435,"")</f>
        <v>49.6</v>
      </c>
      <c r="S176" s="4">
        <f>IF(ISNUMBER('Chemical Data'!S435),'Chemical Data'!S435,"")</f>
        <v>-45</v>
      </c>
      <c r="T176" s="4">
        <f>IF(ISNUMBER('Chemical Data'!T435),'Chemical Data'!T435,"")</f>
        <v>-49.41555203171535</v>
      </c>
      <c r="U176" s="4"/>
      <c r="V176" s="4"/>
      <c r="W176" s="3">
        <f>IF(ISNUMBER('Chemical Data'!W435),'Chemical Data'!W435,"")</f>
        <v>0.215</v>
      </c>
      <c r="X176" s="3">
        <f>IF(ISNUMBER('Chemical Data'!X435),'Chemical Data'!X435,"")</f>
        <v>7.6999999999999999E-2</v>
      </c>
      <c r="Y176" s="3"/>
      <c r="Z176" s="3">
        <f>IF(ISNUMBER('Chemical Data'!Z435),'Chemical Data'!Z435,"")</f>
        <v>0.3</v>
      </c>
      <c r="AA176" s="3">
        <f>IF(ISNUMBER('Chemical Data'!AA435),'Chemical Data'!AA435,"")</f>
        <v>2.5000000000000001E-2</v>
      </c>
      <c r="AB176" s="4">
        <f>IF(ISNUMBER('Chemical Data'!AB435),'Chemical Data'!AB435,"")</f>
        <v>33.869999999999997</v>
      </c>
      <c r="AC176" s="4">
        <f>IF(ISNUMBER('Chemical Data'!AC435),'Chemical Data'!AC435,"")</f>
        <v>25.7</v>
      </c>
      <c r="AD176" s="4">
        <f>IF(ISNUMBER('Chemical Data'!AD435),'Chemical Data'!AD435,"")</f>
        <v>7.14</v>
      </c>
      <c r="AE176" s="4">
        <f>IF(ISNUMBER('Chemical Data'!AE435),'Chemical Data'!AE435,"")</f>
        <v>8.33</v>
      </c>
      <c r="AF176" s="4">
        <f>IF(ISNUMBER('Chemical Data'!AF435),'Chemical Data'!AF435,"")</f>
        <v>1.58</v>
      </c>
      <c r="AG176" s="4">
        <f>IF(ISNUMBER('Chemical Data'!AG435),'Chemical Data'!AG435,"")</f>
        <v>15.1</v>
      </c>
      <c r="AH176" s="4" t="str">
        <f>IF(ISNUMBER('Chemical Data'!AH435),'Chemical Data'!AH435,"")</f>
        <v/>
      </c>
      <c r="AI176" s="4" t="str">
        <f>IF(ISNUMBER('Chemical Data'!AI435),'Chemical Data'!AI435,"")</f>
        <v/>
      </c>
      <c r="AJ176" s="4" t="str">
        <f>IF(ISNUMBER('Chemical Data'!AJ435),'Chemical Data'!AJ435,"")</f>
        <v/>
      </c>
      <c r="AK176" s="4"/>
      <c r="AL176" s="4"/>
      <c r="AM176" s="4" t="str">
        <f>IF(ISNUMBER('Chemical Data'!AM435),'Chemical Data'!AM435,"")</f>
        <v/>
      </c>
      <c r="AN176" s="4">
        <f>IF(ISNUMBER('Chemical Data'!AN435),'Chemical Data'!AN435,"")</f>
        <v>-846.18000000000006</v>
      </c>
      <c r="AO176" s="4">
        <f>IF(ISNUMBER('Chemical Data'!AO435),'Chemical Data'!AO435,"")</f>
        <v>4.0428600000000001</v>
      </c>
      <c r="AP176" s="4">
        <f>IF(ISNUMBER('Chemical Data'!AP435),'Chemical Data'!AP435,"")</f>
        <v>5.6411999999999995</v>
      </c>
      <c r="AQ176" s="4">
        <f>IF(ISNUMBER('Chemical Data'!AQ435),'Chemical Data'!AQ435,"")</f>
        <v>0.47010000000000007</v>
      </c>
      <c r="AR176" s="4">
        <f>IF(ISNUMBER('Chemical Data'!AR435),'Chemical Data'!AR435,"")</f>
        <v>636.89147999999989</v>
      </c>
      <c r="AS176" s="1">
        <f t="shared" si="17"/>
        <v>932.67840000000012</v>
      </c>
      <c r="AT176" s="4" t="str">
        <f>IF(ISNUMBER('Chemical Data'!AT435),'Chemical Data'!AT435,"")</f>
        <v/>
      </c>
      <c r="AU176" s="4" t="str">
        <f>IF(ISNUMBER('Chemical Data'!AU435),'Chemical Data'!AU435,"")</f>
        <v/>
      </c>
    </row>
    <row r="177" spans="1:48" x14ac:dyDescent="0.3">
      <c r="A177" s="61">
        <f>'Chemical Data'!A436</f>
        <v>45098</v>
      </c>
      <c r="B177" s="61" t="str">
        <f>'Chemical Data'!B436</f>
        <v>024</v>
      </c>
      <c r="C177" s="61" t="str">
        <f>'Chemical Data'!C436</f>
        <v>MP1</v>
      </c>
      <c r="D177" s="61"/>
      <c r="E177" s="61" t="str">
        <f>'Chemical Data'!E436</f>
        <v>Penn Run upstream TMDL</v>
      </c>
      <c r="F177" s="61"/>
      <c r="G177" s="61"/>
      <c r="H177" s="61" t="str">
        <f>'Chemical Data'!H436</f>
        <v>Hedin</v>
      </c>
      <c r="J177" s="4">
        <f>IF(ISNUMBER('Chemical Data'!J436),'Chemical Data'!J436,"")</f>
        <v>247</v>
      </c>
      <c r="K177" s="4" t="str">
        <f>IF(ISNUMBER('Chemical Data'!K436),'Chemical Data'!K436,"")</f>
        <v/>
      </c>
      <c r="L177" s="2">
        <f>IF(ISNUMBER('Chemical Data'!L436),'Chemical Data'!L436,"")</f>
        <v>7.65</v>
      </c>
      <c r="M177" s="2">
        <f>IF(ISNUMBER('Chemical Data'!M436),'Chemical Data'!M436,"")</f>
        <v>7.4</v>
      </c>
      <c r="N177" s="4">
        <f>IF(ISNUMBER('Chemical Data'!N436),'Chemical Data'!N436,"")</f>
        <v>328</v>
      </c>
      <c r="O177" s="4">
        <f>IF(ISNUMBER('Chemical Data'!O436),'Chemical Data'!O436,"")</f>
        <v>367</v>
      </c>
      <c r="P177" s="4">
        <f>IF(ISNUMBER('Chemical Data'!P436),'Chemical Data'!P436,"")</f>
        <v>17.2</v>
      </c>
      <c r="Q177" s="4">
        <f>IF(ISNUMBER('Chemical Data'!Q436),'Chemical Data'!Q436,"")</f>
        <v>84.84</v>
      </c>
      <c r="R177" s="4">
        <f>IF(ISNUMBER('Chemical Data'!R436),'Chemical Data'!R436,"")</f>
        <v>84.2</v>
      </c>
      <c r="S177" s="4">
        <f>IF(ISNUMBER('Chemical Data'!S436),'Chemical Data'!S436,"")</f>
        <v>-80</v>
      </c>
      <c r="T177" s="4">
        <f>IF(ISNUMBER('Chemical Data'!T436),'Chemical Data'!T436,"")</f>
        <v>-84.058980639430715</v>
      </c>
      <c r="U177" s="4"/>
      <c r="V177" s="4"/>
      <c r="W177" s="3">
        <f>IF(ISNUMBER('Chemical Data'!W436),'Chemical Data'!W436,"")</f>
        <v>0.27</v>
      </c>
      <c r="X177" s="3">
        <f>IF(ISNUMBER('Chemical Data'!X436),'Chemical Data'!X436,"")</f>
        <v>0.05</v>
      </c>
      <c r="Y177" s="3"/>
      <c r="Z177" s="3">
        <f>IF(ISNUMBER('Chemical Data'!Z436),'Chemical Data'!Z436,"")</f>
        <v>0.3</v>
      </c>
      <c r="AA177" s="3">
        <f>IF(ISNUMBER('Chemical Data'!AA436),'Chemical Data'!AA436,"")</f>
        <v>2.8000000000000001E-2</v>
      </c>
      <c r="AB177" s="4">
        <f>IF(ISNUMBER('Chemical Data'!AB436),'Chemical Data'!AB436,"")</f>
        <v>51.33</v>
      </c>
      <c r="AC177" s="4">
        <f>IF(ISNUMBER('Chemical Data'!AC436),'Chemical Data'!AC436,"")</f>
        <v>40.68</v>
      </c>
      <c r="AD177" s="4">
        <f>IF(ISNUMBER('Chemical Data'!AD436),'Chemical Data'!AD436,"")</f>
        <v>10.9</v>
      </c>
      <c r="AE177" s="4">
        <f>IF(ISNUMBER('Chemical Data'!AE436),'Chemical Data'!AE436,"")</f>
        <v>10.24</v>
      </c>
      <c r="AF177" s="4">
        <f>IF(ISNUMBER('Chemical Data'!AF436),'Chemical Data'!AF436,"")</f>
        <v>2.2999999999999998</v>
      </c>
      <c r="AG177" s="4">
        <f>IF(ISNUMBER('Chemical Data'!AG436),'Chemical Data'!AG436,"")</f>
        <v>20.100000000000001</v>
      </c>
      <c r="AH177" s="4">
        <f>IF(ISNUMBER('Chemical Data'!AH436),'Chemical Data'!AH436,"")</f>
        <v>0.05</v>
      </c>
      <c r="AI177" s="4">
        <f>IF(ISNUMBER('Chemical Data'!AI436),'Chemical Data'!AI436,"")</f>
        <v>0.03</v>
      </c>
      <c r="AJ177" s="4">
        <f>IF(ISNUMBER('Chemical Data'!AJ436),'Chemical Data'!AJ436,"")</f>
        <v>0.2</v>
      </c>
      <c r="AK177" s="4"/>
      <c r="AL177" s="4"/>
      <c r="AM177" s="4" t="str">
        <f>IF(ISNUMBER('Chemical Data'!AM436),'Chemical Data'!AM436,"")</f>
        <v/>
      </c>
      <c r="AN177" s="4">
        <f>IF(ISNUMBER('Chemical Data'!AN436),'Chemical Data'!AN436,"")</f>
        <v>-237.12</v>
      </c>
      <c r="AO177" s="4">
        <f>IF(ISNUMBER('Chemical Data'!AO436),'Chemical Data'!AO436,"")</f>
        <v>0.80027999999999999</v>
      </c>
      <c r="AP177" s="4">
        <f>IF(ISNUMBER('Chemical Data'!AP436),'Chemical Data'!AP436,"")</f>
        <v>0.88919999999999999</v>
      </c>
      <c r="AQ177" s="4">
        <f>IF(ISNUMBER('Chemical Data'!AQ436),'Chemical Data'!AQ436,"")</f>
        <v>8.299200000000001E-2</v>
      </c>
      <c r="AR177" s="4">
        <f>IF(ISNUMBER('Chemical Data'!AR436),'Chemical Data'!AR436,"")</f>
        <v>152.14212000000001</v>
      </c>
      <c r="AS177" s="1">
        <f t="shared" si="17"/>
        <v>249.56880000000001</v>
      </c>
      <c r="AT177" s="4" t="str">
        <f>IF(ISNUMBER('Chemical Data'!AT436),'Chemical Data'!AT436,"")</f>
        <v/>
      </c>
      <c r="AU177" s="4" t="str">
        <f>IF(ISNUMBER('Chemical Data'!AU436),'Chemical Data'!AU436,"")</f>
        <v/>
      </c>
    </row>
    <row r="178" spans="1:48" x14ac:dyDescent="0.3">
      <c r="A178" s="61">
        <f>'Chemical Data'!A437</f>
        <v>45169</v>
      </c>
      <c r="B178" s="61" t="str">
        <f>'Chemical Data'!B437</f>
        <v>010</v>
      </c>
      <c r="C178" s="61" t="str">
        <f>'Chemical Data'!C437</f>
        <v>MP1</v>
      </c>
      <c r="D178" s="61"/>
      <c r="E178" s="61" t="str">
        <f>'Chemical Data'!E437</f>
        <v>Penn Run upstream TMDL</v>
      </c>
      <c r="F178" s="61"/>
      <c r="G178" s="61"/>
      <c r="H178" s="61" t="str">
        <f>'Chemical Data'!H437</f>
        <v>SFU</v>
      </c>
      <c r="I178" s="76">
        <v>2.2160000000000002</v>
      </c>
      <c r="J178" s="4">
        <f>IF(ISNUMBER('Chemical Data'!J437),'Chemical Data'!J437,"")</f>
        <v>710</v>
      </c>
      <c r="K178" s="4" t="str">
        <f>IF(ISNUMBER('Chemical Data'!K437),'Chemical Data'!K437,"")</f>
        <v/>
      </c>
      <c r="L178" s="2">
        <f>IF(ISNUMBER('Chemical Data'!L437),'Chemical Data'!L437,"")</f>
        <v>7.88</v>
      </c>
      <c r="M178" s="2">
        <f>IF(ISNUMBER('Chemical Data'!M437),'Chemical Data'!M437,"")</f>
        <v>7.1</v>
      </c>
      <c r="N178" s="4">
        <f>IF(ISNUMBER('Chemical Data'!N437),'Chemical Data'!N437,"")</f>
        <v>310</v>
      </c>
      <c r="O178" s="4">
        <f>IF(ISNUMBER('Chemical Data'!O437),'Chemical Data'!O437,"")</f>
        <v>303</v>
      </c>
      <c r="P178" s="4" t="str">
        <f>IF(ISNUMBER('Chemical Data'!P437),'Chemical Data'!P437,"")</f>
        <v/>
      </c>
      <c r="Q178" s="4" t="str">
        <f>IF(ISNUMBER('Chemical Data'!Q437),'Chemical Data'!Q437,"")</f>
        <v/>
      </c>
      <c r="R178" s="4">
        <f>IF(ISNUMBER('Chemical Data'!R437),'Chemical Data'!R437,"")</f>
        <v>81.599999999999994</v>
      </c>
      <c r="S178" s="4">
        <f>IF(ISNUMBER('Chemical Data'!S437),'Chemical Data'!S437,"")</f>
        <v>-69.2</v>
      </c>
      <c r="T178" s="4">
        <f>IF(ISNUMBER('Chemical Data'!T437),'Chemical Data'!T437,"")</f>
        <v>-81.468440871630719</v>
      </c>
      <c r="U178" s="4"/>
      <c r="V178" s="4"/>
      <c r="W178" s="3">
        <f>IF(ISNUMBER('Chemical Data'!W437),'Chemical Data'!W437,"")</f>
        <v>0.36</v>
      </c>
      <c r="X178" s="3">
        <f>IF(ISNUMBER('Chemical Data'!X437),'Chemical Data'!X437,"")</f>
        <v>0.05</v>
      </c>
      <c r="Y178" s="3"/>
      <c r="Z178" s="3">
        <f>IF(ISNUMBER('Chemical Data'!Z437),'Chemical Data'!Z437,"")</f>
        <v>0.3</v>
      </c>
      <c r="AA178" s="3">
        <f>IF(ISNUMBER('Chemical Data'!AA437),'Chemical Data'!AA437,"")</f>
        <v>2.3E-2</v>
      </c>
      <c r="AB178" s="4">
        <f>IF(ISNUMBER('Chemical Data'!AB437),'Chemical Data'!AB437,"")</f>
        <v>40.39</v>
      </c>
      <c r="AC178" s="4">
        <f>IF(ISNUMBER('Chemical Data'!AC437),'Chemical Data'!AC437,"")</f>
        <v>37.299999999999997</v>
      </c>
      <c r="AD178" s="4">
        <f>IF(ISNUMBER('Chemical Data'!AD437),'Chemical Data'!AD437,"")</f>
        <v>10.5</v>
      </c>
      <c r="AE178" s="4">
        <f>IF(ISNUMBER('Chemical Data'!AE437),'Chemical Data'!AE437,"")</f>
        <v>8.44</v>
      </c>
      <c r="AF178" s="4">
        <f>IF(ISNUMBER('Chemical Data'!AF437),'Chemical Data'!AF437,"")</f>
        <v>2</v>
      </c>
      <c r="AG178" s="4">
        <f>IF(ISNUMBER('Chemical Data'!AG437),'Chemical Data'!AG437,"")</f>
        <v>14.5</v>
      </c>
      <c r="AH178" s="4">
        <f>IF(ISNUMBER('Chemical Data'!AH437),'Chemical Data'!AH437,"")</f>
        <v>0.05</v>
      </c>
      <c r="AI178" s="4">
        <f>IF(ISNUMBER('Chemical Data'!AI437),'Chemical Data'!AI437,"")</f>
        <v>0.03</v>
      </c>
      <c r="AJ178" s="4">
        <f>IF(ISNUMBER('Chemical Data'!AJ437),'Chemical Data'!AJ437,"")</f>
        <v>0.2</v>
      </c>
      <c r="AK178" s="4"/>
      <c r="AL178" s="4"/>
      <c r="AM178" s="4" t="str">
        <f>IF(ISNUMBER('Chemical Data'!AM437),'Chemical Data'!AM437,"")</f>
        <v/>
      </c>
      <c r="AN178" s="4">
        <f>IF(ISNUMBER('Chemical Data'!AN437),'Chemical Data'!AN437,"")</f>
        <v>-589.58400000000006</v>
      </c>
      <c r="AO178" s="4">
        <f>IF(ISNUMBER('Chemical Data'!AO437),'Chemical Data'!AO437,"")</f>
        <v>3.0672000000000001</v>
      </c>
      <c r="AP178" s="4">
        <f>IF(ISNUMBER('Chemical Data'!AP437),'Chemical Data'!AP437,"")</f>
        <v>2.556</v>
      </c>
      <c r="AQ178" s="4">
        <f>IF(ISNUMBER('Chemical Data'!AQ437),'Chemical Data'!AQ437,"")</f>
        <v>0.19596</v>
      </c>
      <c r="AR178" s="4">
        <f>IF(ISNUMBER('Chemical Data'!AR437),'Chemical Data'!AR437,"")</f>
        <v>344.12280000000004</v>
      </c>
      <c r="AS178" s="1">
        <f t="shared" si="17"/>
        <v>695.23199999999997</v>
      </c>
      <c r="AT178" s="4" t="str">
        <f>IF(ISNUMBER('Chemical Data'!AT437),'Chemical Data'!AT437,"")</f>
        <v/>
      </c>
      <c r="AU178" s="4" t="str">
        <f>IF(ISNUMBER('Chemical Data'!AU437),'Chemical Data'!AU437,"")</f>
        <v/>
      </c>
    </row>
    <row r="179" spans="1:48" x14ac:dyDescent="0.3">
      <c r="A179" s="61">
        <v>45352</v>
      </c>
      <c r="B179" s="74"/>
      <c r="C179" s="61" t="s">
        <v>204</v>
      </c>
      <c r="D179" s="64"/>
      <c r="E179" s="61" t="s">
        <v>212</v>
      </c>
      <c r="F179" s="64"/>
      <c r="G179" s="64"/>
      <c r="H179" s="61" t="s">
        <v>218</v>
      </c>
      <c r="I179" s="37"/>
      <c r="J179" s="4">
        <f>8.52*449</f>
        <v>3825.48</v>
      </c>
      <c r="K179" s="4"/>
      <c r="L179" s="2">
        <v>7.29</v>
      </c>
      <c r="M179" s="2">
        <v>6.7</v>
      </c>
      <c r="N179" s="4">
        <v>170</v>
      </c>
      <c r="O179" s="4"/>
      <c r="P179" s="4">
        <v>6.7</v>
      </c>
      <c r="Q179" s="4"/>
      <c r="R179" s="4">
        <v>40</v>
      </c>
      <c r="S179" s="4">
        <v>-26.6</v>
      </c>
      <c r="T179" s="4" cm="1">
        <f t="array" ref="T179">_xlfn.IFS(L179&lt;=5,IF(ISNUMBER(X179)=TRUE,X179*1.79+AA179*1.8+Z179*5.56+50000*(10^-L179)-R179,1.79+AA179*1.8+Z179*5.56+50000*(10^-L179)-R179),L179&gt;5,IF(ISNUMBER(X179)=TRUE,X179*1.79+AA179*1.8+50000*(10^-L179)-R179,AA179*1.8+50000*(10^-L179)-R179))</f>
        <v>-39.817935693080045</v>
      </c>
      <c r="U179" s="4"/>
      <c r="V179" s="4"/>
      <c r="W179" s="52">
        <v>0.3</v>
      </c>
      <c r="X179" s="52">
        <v>0.05</v>
      </c>
      <c r="Y179" s="52"/>
      <c r="Z179" s="52">
        <v>0.5</v>
      </c>
      <c r="AA179" s="52">
        <v>0.05</v>
      </c>
      <c r="AB179" s="4">
        <v>27.3</v>
      </c>
      <c r="AC179" s="4"/>
      <c r="AD179" s="4"/>
      <c r="AE179" s="4"/>
      <c r="AF179" s="4"/>
      <c r="AG179" s="4"/>
      <c r="AH179" s="4"/>
      <c r="AI179" s="4"/>
      <c r="AJ179" s="4"/>
      <c r="AK179" s="4" t="s">
        <v>363</v>
      </c>
      <c r="AL179" s="4">
        <v>110</v>
      </c>
      <c r="AM179" s="4"/>
      <c r="AN179" s="1">
        <f>S179*J179*0.012</f>
        <v>-1221.0932160000002</v>
      </c>
      <c r="AO179" s="1">
        <f>W179*J179*0.012</f>
        <v>13.771728</v>
      </c>
      <c r="AP179" s="1">
        <f>Z179*J179*0.012</f>
        <v>22.95288</v>
      </c>
      <c r="AQ179" s="1">
        <f>AA179*J179*0.012</f>
        <v>2.2952880000000002</v>
      </c>
      <c r="AR179" s="1">
        <f>AB179*J179*0.012</f>
        <v>1253.2272480000001</v>
      </c>
      <c r="AS179" s="1">
        <f t="shared" si="17"/>
        <v>1836.2303999999999</v>
      </c>
    </row>
    <row r="180" spans="1:48" x14ac:dyDescent="0.3">
      <c r="A180" s="61">
        <v>45366</v>
      </c>
      <c r="B180" s="74">
        <v>1</v>
      </c>
      <c r="C180" s="61" t="s">
        <v>204</v>
      </c>
      <c r="D180" s="64"/>
      <c r="E180" s="61" t="s">
        <v>212</v>
      </c>
      <c r="F180" s="64"/>
      <c r="G180" s="64"/>
      <c r="H180" s="61" t="s">
        <v>218</v>
      </c>
      <c r="I180" s="37"/>
      <c r="J180" s="4">
        <v>3826</v>
      </c>
      <c r="K180" s="4"/>
      <c r="L180" s="2">
        <v>7.18</v>
      </c>
      <c r="M180" s="2">
        <v>6.8</v>
      </c>
      <c r="N180" s="4">
        <v>204</v>
      </c>
      <c r="O180" s="4"/>
      <c r="P180" s="4"/>
      <c r="Q180" s="4"/>
      <c r="R180" s="4">
        <v>49.6</v>
      </c>
      <c r="S180" s="4">
        <v>-36</v>
      </c>
      <c r="T180" s="4" cm="1">
        <f t="array" ref="T180">_xlfn.IFS(L180&lt;=5,IF(ISNUMBER(X180)=TRUE,X180*1.79+AA180*1.8+Z180*5.56+50000*(10^-L180)-R180,1.79+AA180*1.8+Z180*5.56+50000*(10^-L180)-R180),L180&gt;5,IF(ISNUMBER(X180)=TRUE,X180*1.79+AA180*1.8+50000*(10^-L180)-R180,AA180*1.8+50000*(10^-L180)-R180))</f>
        <v>-49.358126532759961</v>
      </c>
      <c r="U180" s="4"/>
      <c r="V180" s="4"/>
      <c r="W180" s="3">
        <v>0.59599999999999997</v>
      </c>
      <c r="X180" s="3">
        <v>8.3000000000000004E-2</v>
      </c>
      <c r="Y180" s="3"/>
      <c r="Z180" s="3">
        <v>0.52200000000000002</v>
      </c>
      <c r="AA180" s="52">
        <v>0.05</v>
      </c>
      <c r="AB180" s="4">
        <v>27.3</v>
      </c>
      <c r="AC180" s="4"/>
      <c r="AD180" s="4"/>
      <c r="AE180" s="4"/>
      <c r="AF180" s="4"/>
      <c r="AG180" s="4"/>
      <c r="AH180" s="4"/>
      <c r="AI180" s="4"/>
      <c r="AJ180" s="4"/>
      <c r="AK180" s="4" t="s">
        <v>363</v>
      </c>
      <c r="AL180" s="4">
        <v>114</v>
      </c>
      <c r="AM180" s="4"/>
      <c r="AN180" s="1">
        <f>S180*J180*0.012</f>
        <v>-1652.8320000000001</v>
      </c>
      <c r="AO180" s="1">
        <f>W180*J180*0.012</f>
        <v>27.363551999999999</v>
      </c>
      <c r="AP180" s="1">
        <f>Z180*J180*0.012</f>
        <v>23.966063999999999</v>
      </c>
      <c r="AQ180" s="1">
        <f>AA180*J180*0.012</f>
        <v>2.2956000000000003</v>
      </c>
      <c r="AR180" s="1">
        <f>AB180*J180*0.012</f>
        <v>1253.3976</v>
      </c>
      <c r="AS180" s="1">
        <f t="shared" si="17"/>
        <v>2277.2352000000001</v>
      </c>
    </row>
    <row r="181" spans="1:48" x14ac:dyDescent="0.3">
      <c r="A181" s="61">
        <v>45527</v>
      </c>
      <c r="B181" s="74"/>
      <c r="C181" s="61" t="s">
        <v>204</v>
      </c>
      <c r="D181" s="64"/>
      <c r="E181" s="61" t="s">
        <v>212</v>
      </c>
      <c r="F181" s="64"/>
      <c r="G181" s="64"/>
      <c r="H181" s="61" t="s">
        <v>218</v>
      </c>
      <c r="I181" s="37"/>
      <c r="J181" s="4">
        <f>IF(ISNUMBER('Chemical Data'!J439),'Chemical Data'!J439,"")</f>
        <v>278</v>
      </c>
      <c r="K181" s="2" t="str">
        <f>IF(ISNUMBER('Chemical Data'!K439),'Chemical Data'!K439,"")</f>
        <v/>
      </c>
      <c r="L181" s="2">
        <f>IF(ISNUMBER('Chemical Data'!L439),'Chemical Data'!L439,"")</f>
        <v>7.91</v>
      </c>
      <c r="M181" s="2">
        <f>IF(ISNUMBER('Chemical Data'!M439),'Chemical Data'!M439,"")</f>
        <v>7.3</v>
      </c>
      <c r="N181" s="4">
        <f>IF(ISNUMBER('Chemical Data'!N439),'Chemical Data'!N439,"")</f>
        <v>392</v>
      </c>
      <c r="O181" s="2" t="str">
        <f>IF(ISNUMBER('Chemical Data'!O439),'Chemical Data'!O439,"")</f>
        <v/>
      </c>
      <c r="P181" s="4" t="str">
        <f>IF(ISNUMBER('Chemical Data'!P441),'Chemical Data'!P441,"")</f>
        <v/>
      </c>
      <c r="Q181" s="4" t="str">
        <f>IF(ISNUMBER('Chemical Data'!Q441),'Chemical Data'!Q441,"")</f>
        <v/>
      </c>
      <c r="R181" s="4">
        <f>IF(ISNUMBER('Chemical Data'!R439),'Chemical Data'!R439,"")</f>
        <v>104.6</v>
      </c>
      <c r="S181" s="4">
        <f>IF(ISNUMBER('Chemical Data'!S439),'Chemical Data'!S439,"")</f>
        <v>-84.6</v>
      </c>
      <c r="T181" s="4" cm="1">
        <f t="array" ref="T181">_xlfn.IFS(M181&lt;=5,IF(ISNUMBER(X181)=TRUE,X181*1.79+AA181*1.8+Z181*5.56+50000*(10^-M181)-R181,1.79+AA181*1.8+Z181*5.56+50000*(10^-M181)-R181),M181&gt;5,IF(ISNUMBER(X181)=TRUE,X181*1.79+AA181*1.8+50000*(10^-M181)-R181,AA181*1.8+50000*(10^-M181)-R181))</f>
        <v>-104.41799406383186</v>
      </c>
      <c r="U181" s="4"/>
      <c r="V181" s="4"/>
      <c r="W181" s="52">
        <f>IF(ISNUMBER('Chemical Data'!W439),'Chemical Data'!W439,"")</f>
        <v>0.3</v>
      </c>
      <c r="X181" s="3">
        <f>IF(ISNUMBER('Chemical Data'!X439),'Chemical Data'!X439,"")</f>
        <v>0.05</v>
      </c>
      <c r="Y181" s="3"/>
      <c r="Z181" s="3">
        <f>IF(ISNUMBER('Chemical Data'!Z439),'Chemical Data'!Z439,"")</f>
        <v>0.5</v>
      </c>
      <c r="AA181" s="3">
        <f>IF(ISNUMBER('Chemical Data'!AA439),'Chemical Data'!AA439,"")</f>
        <v>0.05</v>
      </c>
      <c r="AB181" s="4">
        <f>IF(ISNUMBER('Chemical Data'!AB439),'Chemical Data'!AB439,"")</f>
        <v>64.599999999999994</v>
      </c>
      <c r="AC181" s="4" t="str">
        <f>IF(ISNUMBER('Chemical Data'!AC441),'Chemical Data'!AC441,"")</f>
        <v/>
      </c>
      <c r="AD181" s="4" t="str">
        <f>IF(ISNUMBER('Chemical Data'!AD441),'Chemical Data'!AD441,"")</f>
        <v/>
      </c>
      <c r="AE181" s="4" t="str">
        <f>IF(ISNUMBER('Chemical Data'!AE441),'Chemical Data'!AE441,"")</f>
        <v/>
      </c>
      <c r="AF181" s="4" t="str">
        <f>IF(ISNUMBER('Chemical Data'!AF441),'Chemical Data'!AF441,"")</f>
        <v/>
      </c>
      <c r="AG181" s="4" t="str">
        <f>IF(ISNUMBER('Chemical Data'!AG441),'Chemical Data'!AG441,"")</f>
        <v/>
      </c>
      <c r="AH181" s="4" t="str">
        <f>IF(ISNUMBER('Chemical Data'!AH441),'Chemical Data'!AH441,"")</f>
        <v/>
      </c>
      <c r="AI181" s="4" t="str">
        <f>IF(ISNUMBER('Chemical Data'!AI441),'Chemical Data'!AI441,"")</f>
        <v/>
      </c>
      <c r="AJ181" s="4" t="str">
        <f>IF(ISNUMBER('Chemical Data'!AJ441),'Chemical Data'!AJ441,"")</f>
        <v/>
      </c>
      <c r="AK181" s="4"/>
      <c r="AL181" s="4"/>
      <c r="AM181" s="4" t="str">
        <f>IF(ISNUMBER('Chemical Data'!AM439),'Chemical Data'!AM439,"")</f>
        <v/>
      </c>
      <c r="AN181" s="1">
        <f>S181*J181*0.012</f>
        <v>-282.22559999999999</v>
      </c>
      <c r="AO181" s="1">
        <f>W181*J181*0.012</f>
        <v>1.0007999999999999</v>
      </c>
      <c r="AP181" s="1">
        <f>Z181*J181*0.012</f>
        <v>1.6679999999999999</v>
      </c>
      <c r="AQ181" s="1">
        <f>AA181*J181*0.012</f>
        <v>0.1668</v>
      </c>
      <c r="AR181" s="1">
        <f>AB181*J181*0.012</f>
        <v>215.50559999999999</v>
      </c>
      <c r="AS181" s="1">
        <f t="shared" ref="AS181" si="122">0.012*J181*R181</f>
        <v>348.94559999999996</v>
      </c>
    </row>
    <row r="182" spans="1:48" x14ac:dyDescent="0.3">
      <c r="A182" s="61">
        <v>45595</v>
      </c>
      <c r="B182" s="74"/>
      <c r="C182" s="61" t="s">
        <v>204</v>
      </c>
      <c r="D182" s="64"/>
      <c r="E182" s="61" t="s">
        <v>212</v>
      </c>
      <c r="F182" s="64"/>
      <c r="G182" s="64"/>
      <c r="H182" s="61" t="s">
        <v>218</v>
      </c>
      <c r="I182" s="37"/>
      <c r="J182" s="4">
        <f>IF(ISNUMBER('Chemical Data'!J440),'Chemical Data'!J440,"")</f>
        <v>203.23</v>
      </c>
      <c r="K182" s="2" t="str">
        <f>IF(ISNUMBER('Chemical Data'!K440),'Chemical Data'!K440,"")</f>
        <v/>
      </c>
      <c r="L182" s="2">
        <f>IF(ISNUMBER('Chemical Data'!L440),'Chemical Data'!L440,"")</f>
        <v>7.28</v>
      </c>
      <c r="M182" s="2">
        <f>IF(ISNUMBER('Chemical Data'!M440),'Chemical Data'!M440,"")</f>
        <v>7.7</v>
      </c>
      <c r="N182" s="4">
        <f>IF(ISNUMBER('Chemical Data'!N440),'Chemical Data'!N440,"")</f>
        <v>438</v>
      </c>
      <c r="O182" s="2" t="str">
        <f>IF(ISNUMBER('Chemical Data'!O440),'Chemical Data'!O440,"")</f>
        <v/>
      </c>
      <c r="P182" s="4" t="str">
        <f>IF(ISNUMBER('Chemical Data'!P442),'Chemical Data'!P442,"")</f>
        <v/>
      </c>
      <c r="Q182" s="4" t="str">
        <f>IF(ISNUMBER('Chemical Data'!Q442),'Chemical Data'!Q442,"")</f>
        <v/>
      </c>
      <c r="R182" s="4">
        <f>IF(ISNUMBER('Chemical Data'!R440),'Chemical Data'!R440,"")</f>
        <v>129.6</v>
      </c>
      <c r="S182" s="4">
        <f>IF(ISNUMBER('Chemical Data'!S440),'Chemical Data'!S440,"")</f>
        <v>-110.8</v>
      </c>
      <c r="T182" s="4" cm="1">
        <f t="array" ref="T182">_xlfn.IFS(M182&lt;=5,IF(ISNUMBER(X182)=TRUE,X182*1.79+AA182*1.8+Z182*5.56+50000*(10^-M182)-R182,1.79+AA182*1.8+Z182*5.56+50000*(10^-M182)-R182),M182&gt;5,IF(ISNUMBER(X182)=TRUE,X182*1.79+AA182*1.8+50000*(10^-M182)-R182,AA182*1.8+50000*(10^-M182)-R182))</f>
        <v>-129.4195023688425</v>
      </c>
      <c r="U182" s="4"/>
      <c r="V182" s="4"/>
      <c r="W182" s="52">
        <f>IF(ISNUMBER('Chemical Data'!W440),'Chemical Data'!W440,"")</f>
        <v>0.3</v>
      </c>
      <c r="X182" s="3">
        <f>IF(ISNUMBER('Chemical Data'!X440),'Chemical Data'!X440,"")</f>
        <v>0.05</v>
      </c>
      <c r="Y182" s="3"/>
      <c r="Z182" s="3">
        <f>IF(ISNUMBER('Chemical Data'!Z440),'Chemical Data'!Z440,"")</f>
        <v>0.5</v>
      </c>
      <c r="AA182" s="3">
        <f>IF(ISNUMBER('Chemical Data'!AA440),'Chemical Data'!AA440,"")</f>
        <v>0.05</v>
      </c>
      <c r="AB182" s="4" t="str">
        <f>IF(ISNUMBER('Chemical Data'!AB440),'Chemical Data'!AB440,"")</f>
        <v/>
      </c>
      <c r="AC182" s="4">
        <f>IF(ISNUMBER('Chemical Data'!AC442),'Chemical Data'!AC442,"")</f>
        <v>38</v>
      </c>
      <c r="AD182" s="4">
        <f>IF(ISNUMBER('Chemical Data'!AD442),'Chemical Data'!AD442,"")</f>
        <v>10.8</v>
      </c>
      <c r="AE182" s="4">
        <f>IF(ISNUMBER('Chemical Data'!AE442),'Chemical Data'!AE442,"")</f>
        <v>8.6</v>
      </c>
      <c r="AF182" s="4">
        <f>IF(ISNUMBER('Chemical Data'!AF442),'Chemical Data'!AF442,"")</f>
        <v>2.0699999999999998</v>
      </c>
      <c r="AG182" s="4">
        <f>IF(ISNUMBER('Chemical Data'!AG442),'Chemical Data'!AG442,"")</f>
        <v>15.4</v>
      </c>
      <c r="AH182" s="4">
        <f>IF(ISNUMBER('Chemical Data'!AH442),'Chemical Data'!AH442,"")</f>
        <v>0.05</v>
      </c>
      <c r="AI182" s="4">
        <f>IF(ISNUMBER('Chemical Data'!AI442),'Chemical Data'!AI442,"")</f>
        <v>0.03</v>
      </c>
      <c r="AJ182" s="4">
        <f>IF(ISNUMBER('Chemical Data'!AJ442),'Chemical Data'!AJ442,"")</f>
        <v>0.2</v>
      </c>
      <c r="AK182" s="4"/>
      <c r="AL182" s="4"/>
      <c r="AM182" s="4" t="str">
        <f>IF(ISNUMBER('Chemical Data'!AM440),'Chemical Data'!AM440,"")</f>
        <v/>
      </c>
      <c r="AN182" s="1">
        <f>S182*J182*0.012</f>
        <v>-270.214608</v>
      </c>
      <c r="AO182" s="1">
        <f>W182*J182*0.012</f>
        <v>0.73162799999999995</v>
      </c>
      <c r="AP182" s="1">
        <f>Z182*J182*0.012</f>
        <v>1.2193799999999999</v>
      </c>
      <c r="AQ182" s="1">
        <f>AA182*J182*0.012</f>
        <v>0.121938</v>
      </c>
      <c r="AR182" s="1"/>
      <c r="AS182" s="1">
        <f t="shared" ref="AS182" si="123">0.012*J182*R182</f>
        <v>316.06329599999998</v>
      </c>
    </row>
    <row r="183" spans="1:48" s="7" customFormat="1" x14ac:dyDescent="0.3">
      <c r="A183" s="45" t="s">
        <v>144</v>
      </c>
      <c r="J183" s="20">
        <f>AVERAGE(J175:J182)</f>
        <v>1494.8387499999999</v>
      </c>
      <c r="K183" s="4" t="s">
        <v>96</v>
      </c>
      <c r="L183" s="15">
        <f t="shared" ref="L183:T183" si="124">AVERAGE(L175:L182)</f>
        <v>7.5600000000000005</v>
      </c>
      <c r="M183" s="15">
        <f t="shared" si="124"/>
        <v>7.1124999999999998</v>
      </c>
      <c r="N183" s="20">
        <f t="shared" si="124"/>
        <v>290.75</v>
      </c>
      <c r="O183" s="20">
        <f t="shared" si="124"/>
        <v>291.75</v>
      </c>
      <c r="P183" s="20">
        <f t="shared" si="124"/>
        <v>11.95</v>
      </c>
      <c r="Q183" s="20">
        <f t="shared" si="124"/>
        <v>84.84</v>
      </c>
      <c r="R183" s="20">
        <f t="shared" si="124"/>
        <v>74.625000000000014</v>
      </c>
      <c r="S183" s="20">
        <f t="shared" si="124"/>
        <v>-62.875000000000007</v>
      </c>
      <c r="T183" s="20">
        <f t="shared" si="124"/>
        <v>-74.450629969336859</v>
      </c>
      <c r="U183" s="20"/>
      <c r="V183" s="20"/>
      <c r="W183" s="30">
        <f>AVERAGE(W175:W182)</f>
        <v>0.30512499999999992</v>
      </c>
      <c r="X183" s="30">
        <f>AVERAGE(X175:X182)</f>
        <v>5.7499999999999996E-2</v>
      </c>
      <c r="Y183" s="20"/>
      <c r="Z183" s="30">
        <f t="shared" ref="Z183:AL183" si="125">AVERAGE(Z175:Z182)</f>
        <v>0.41742857142857137</v>
      </c>
      <c r="AA183" s="20">
        <f t="shared" si="125"/>
        <v>3.875E-2</v>
      </c>
      <c r="AB183" s="20">
        <f t="shared" si="125"/>
        <v>40.32</v>
      </c>
      <c r="AC183" s="20">
        <f t="shared" si="125"/>
        <v>33.693999999999996</v>
      </c>
      <c r="AD183" s="20">
        <f t="shared" si="125"/>
        <v>9.4599999999999991</v>
      </c>
      <c r="AE183" s="20">
        <f t="shared" si="125"/>
        <v>8.9280000000000008</v>
      </c>
      <c r="AF183" s="20">
        <f t="shared" si="125"/>
        <v>1.9059999999999999</v>
      </c>
      <c r="AG183" s="20">
        <f t="shared" si="125"/>
        <v>16.399999999999999</v>
      </c>
      <c r="AH183" s="20">
        <f t="shared" si="125"/>
        <v>5.000000000000001E-2</v>
      </c>
      <c r="AI183" s="20">
        <f t="shared" si="125"/>
        <v>0.03</v>
      </c>
      <c r="AJ183" s="20">
        <f t="shared" si="125"/>
        <v>0.20000000000000004</v>
      </c>
      <c r="AK183" s="20" t="e">
        <f t="shared" si="125"/>
        <v>#DIV/0!</v>
      </c>
      <c r="AL183" s="20">
        <f t="shared" si="125"/>
        <v>112</v>
      </c>
      <c r="AM183" s="20"/>
      <c r="AN183" s="20">
        <f t="shared" ref="AN183:AS183" si="126">AVERAGE(AN175:AN182)</f>
        <v>-736.61857800000007</v>
      </c>
      <c r="AO183" s="20">
        <f t="shared" si="126"/>
        <v>6.5425559999999994</v>
      </c>
      <c r="AP183" s="20">
        <f t="shared" si="126"/>
        <v>8.4132462857142851</v>
      </c>
      <c r="AQ183" s="20">
        <f t="shared" si="126"/>
        <v>0.76998675000000016</v>
      </c>
      <c r="AR183" s="20">
        <f t="shared" si="126"/>
        <v>634.3436640000001</v>
      </c>
      <c r="AS183" s="20">
        <f t="shared" si="126"/>
        <v>944.877612</v>
      </c>
      <c r="AT183" s="20"/>
      <c r="AU183" s="20"/>
      <c r="AV183" s="20"/>
    </row>
    <row r="184" spans="1:48" x14ac:dyDescent="0.3">
      <c r="A184" s="77"/>
      <c r="B184" s="35"/>
      <c r="C184" s="35"/>
      <c r="D184" s="35"/>
      <c r="E184" s="35"/>
      <c r="F184" s="35"/>
      <c r="G184" s="35"/>
      <c r="I184" s="37"/>
      <c r="L184" s="36"/>
      <c r="M184" s="37"/>
      <c r="N184" s="38"/>
      <c r="O184" s="33"/>
    </row>
    <row r="185" spans="1:48" x14ac:dyDescent="0.3">
      <c r="B185" s="35"/>
      <c r="C185" s="35"/>
      <c r="D185" s="35"/>
      <c r="E185" s="35"/>
      <c r="F185" s="35"/>
      <c r="G185" s="35"/>
      <c r="I185" s="37"/>
      <c r="L185" s="36"/>
      <c r="M185" s="37"/>
      <c r="N185" s="38"/>
      <c r="O185" s="33"/>
    </row>
    <row r="186" spans="1:48" x14ac:dyDescent="0.3">
      <c r="B186" s="35"/>
      <c r="C186" s="35"/>
      <c r="D186" s="35"/>
      <c r="E186" s="35"/>
      <c r="F186" s="35"/>
      <c r="G186" s="35"/>
      <c r="H186" s="38"/>
      <c r="I186" s="38"/>
      <c r="J186" s="38"/>
      <c r="L186" s="36"/>
      <c r="M186" s="37"/>
      <c r="N186" s="38"/>
      <c r="O186" s="33"/>
    </row>
    <row r="187" spans="1:48" x14ac:dyDescent="0.3">
      <c r="B187" s="35"/>
      <c r="C187" s="35"/>
      <c r="D187" s="35"/>
      <c r="E187" s="35"/>
      <c r="F187" s="35"/>
      <c r="G187" s="35"/>
      <c r="I187" s="37"/>
      <c r="L187" s="36"/>
      <c r="M187" s="37"/>
      <c r="N187" s="38"/>
      <c r="O187" s="33"/>
    </row>
    <row r="188" spans="1:48" x14ac:dyDescent="0.3">
      <c r="I188" s="37"/>
      <c r="L188" s="36"/>
      <c r="M188" s="37"/>
      <c r="N188" s="38"/>
      <c r="O188" s="33"/>
    </row>
    <row r="189" spans="1:48" x14ac:dyDescent="0.3">
      <c r="A189" s="77"/>
      <c r="I189" s="38"/>
      <c r="J189" s="78"/>
      <c r="L189" s="36"/>
      <c r="M189" s="37"/>
      <c r="N189" s="38"/>
      <c r="O189" s="33"/>
    </row>
    <row r="190" spans="1:48" x14ac:dyDescent="0.3">
      <c r="A190" s="77"/>
      <c r="I190" s="37"/>
      <c r="J190" s="78"/>
      <c r="L190" s="36"/>
      <c r="M190" s="37"/>
      <c r="N190" s="38"/>
      <c r="O190" s="33"/>
    </row>
    <row r="191" spans="1:48" x14ac:dyDescent="0.3">
      <c r="A191" s="77"/>
      <c r="I191" s="37"/>
      <c r="J191" s="78"/>
      <c r="L191" s="36"/>
      <c r="M191" s="37"/>
      <c r="N191" s="38"/>
      <c r="O191" s="33"/>
    </row>
    <row r="192" spans="1:48" x14ac:dyDescent="0.3">
      <c r="A192" s="77"/>
      <c r="I192" s="37"/>
      <c r="J192" s="78"/>
      <c r="L192" s="36"/>
      <c r="M192" s="37"/>
      <c r="N192" s="38"/>
      <c r="O192" s="33"/>
    </row>
    <row r="193" spans="1:15" x14ac:dyDescent="0.3">
      <c r="A193" s="77"/>
      <c r="I193" s="37"/>
      <c r="J193" s="78"/>
      <c r="L193" s="36"/>
      <c r="M193" s="37"/>
      <c r="N193" s="38"/>
      <c r="O193" s="33"/>
    </row>
    <row r="194" spans="1:15" x14ac:dyDescent="0.3">
      <c r="I194" s="37"/>
      <c r="J194" s="79"/>
      <c r="L194" s="36"/>
      <c r="M194" s="37"/>
      <c r="N194" s="38"/>
      <c r="O194" s="33"/>
    </row>
    <row r="195" spans="1:15" x14ac:dyDescent="0.3">
      <c r="A195" s="77"/>
      <c r="I195" s="37"/>
      <c r="J195" s="79"/>
      <c r="L195" s="36"/>
      <c r="M195" s="37"/>
      <c r="N195" s="38"/>
      <c r="O195" s="33"/>
    </row>
    <row r="196" spans="1:15" x14ac:dyDescent="0.3">
      <c r="A196" s="77"/>
      <c r="I196" s="37"/>
      <c r="J196" s="78"/>
      <c r="L196" s="36"/>
      <c r="M196" s="37"/>
      <c r="N196" s="38"/>
      <c r="O196" s="33"/>
    </row>
    <row r="197" spans="1:15" x14ac:dyDescent="0.3">
      <c r="A197" s="77"/>
      <c r="I197" s="37"/>
      <c r="J197" s="78"/>
      <c r="L197" s="36"/>
      <c r="M197" s="37"/>
      <c r="N197" s="38"/>
      <c r="O197" s="33"/>
    </row>
    <row r="198" spans="1:15" x14ac:dyDescent="0.3">
      <c r="A198" s="77"/>
      <c r="I198" s="37"/>
      <c r="J198" s="78"/>
      <c r="L198" s="36"/>
      <c r="M198" s="37"/>
      <c r="N198" s="38"/>
      <c r="O198" s="33"/>
    </row>
    <row r="199" spans="1:15" x14ac:dyDescent="0.3">
      <c r="I199" s="37"/>
      <c r="L199" s="36"/>
      <c r="M199" s="37"/>
      <c r="N199" s="38"/>
      <c r="O199" s="33"/>
    </row>
    <row r="200" spans="1:15" x14ac:dyDescent="0.3">
      <c r="I200" s="37"/>
      <c r="L200" s="36"/>
      <c r="M200" s="37"/>
      <c r="N200" s="38"/>
      <c r="O200" s="33"/>
    </row>
    <row r="201" spans="1:15" x14ac:dyDescent="0.3">
      <c r="C201" s="38"/>
      <c r="D201" s="38"/>
      <c r="E201" s="38"/>
      <c r="F201" s="38"/>
      <c r="G201" s="38"/>
      <c r="H201" s="38"/>
      <c r="I201" s="38"/>
      <c r="J201" s="38"/>
      <c r="L201" s="36"/>
      <c r="M201" s="37"/>
      <c r="N201" s="38"/>
      <c r="O201" s="33"/>
    </row>
    <row r="202" spans="1:15" x14ac:dyDescent="0.3">
      <c r="I202" s="37"/>
      <c r="L202" s="36"/>
      <c r="M202" s="37"/>
      <c r="N202" s="38"/>
      <c r="O202" s="33"/>
    </row>
    <row r="203" spans="1:15" x14ac:dyDescent="0.3">
      <c r="I203" s="37"/>
      <c r="L203" s="36"/>
      <c r="M203" s="37"/>
      <c r="N203" s="38"/>
      <c r="O203" s="33"/>
    </row>
    <row r="204" spans="1:15" x14ac:dyDescent="0.3">
      <c r="A204" s="77"/>
      <c r="I204" s="37"/>
      <c r="J204" s="78"/>
      <c r="L204" s="36"/>
      <c r="M204" s="37"/>
      <c r="N204" s="38"/>
      <c r="O204" s="33"/>
    </row>
    <row r="205" spans="1:15" x14ac:dyDescent="0.3">
      <c r="A205" s="77"/>
      <c r="I205" s="37"/>
      <c r="J205" s="78"/>
      <c r="L205" s="36"/>
      <c r="M205" s="37"/>
      <c r="N205" s="38"/>
      <c r="O205" s="33"/>
    </row>
    <row r="206" spans="1:15" x14ac:dyDescent="0.3">
      <c r="A206" s="77"/>
      <c r="I206" s="37"/>
      <c r="J206" s="78"/>
      <c r="L206" s="36"/>
      <c r="M206" s="37"/>
      <c r="N206" s="38"/>
      <c r="O206" s="33"/>
    </row>
    <row r="207" spans="1:15" x14ac:dyDescent="0.3">
      <c r="A207" s="77"/>
      <c r="I207" s="37"/>
      <c r="J207" s="78"/>
      <c r="L207" s="36"/>
      <c r="M207" s="37"/>
      <c r="N207" s="38"/>
      <c r="O207" s="33"/>
    </row>
    <row r="208" spans="1:15" x14ac:dyDescent="0.3">
      <c r="A208" s="77"/>
      <c r="I208" s="37"/>
      <c r="J208" s="78"/>
      <c r="L208" s="36"/>
      <c r="M208" s="37"/>
      <c r="N208" s="38"/>
      <c r="O208" s="33"/>
    </row>
    <row r="209" spans="1:15" x14ac:dyDescent="0.3">
      <c r="I209" s="37"/>
      <c r="J209" s="79"/>
      <c r="L209" s="36"/>
      <c r="M209" s="37"/>
      <c r="N209" s="38"/>
      <c r="O209" s="33"/>
    </row>
    <row r="210" spans="1:15" x14ac:dyDescent="0.3">
      <c r="A210" s="77"/>
      <c r="I210" s="37"/>
      <c r="L210" s="36"/>
      <c r="M210" s="37"/>
      <c r="N210" s="38"/>
      <c r="O210" s="33"/>
    </row>
    <row r="211" spans="1:15" x14ac:dyDescent="0.3">
      <c r="A211" s="80"/>
      <c r="I211" s="37"/>
      <c r="J211" s="78"/>
      <c r="O211" s="33"/>
    </row>
    <row r="212" spans="1:15" x14ac:dyDescent="0.3">
      <c r="A212" s="80"/>
      <c r="I212" s="37"/>
      <c r="J212" s="78"/>
      <c r="O212" s="33"/>
    </row>
    <row r="213" spans="1:15" x14ac:dyDescent="0.3">
      <c r="A213" s="80"/>
      <c r="I213" s="37"/>
      <c r="J213" s="78"/>
      <c r="O213" s="33"/>
    </row>
  </sheetData>
  <phoneticPr fontId="9" type="noConversion"/>
  <pageMargins left="0.7" right="0.7" top="0.75" bottom="0.75" header="0.3" footer="0.3"/>
  <pageSetup orientation="portrait" horizontalDpi="1200" verticalDpi="1200"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025B6-192E-4192-BFF7-406088608391}">
  <dimension ref="A1:AV503"/>
  <sheetViews>
    <sheetView zoomScale="80" zoomScaleNormal="80" workbookViewId="0">
      <pane xSplit="5" ySplit="5" topLeftCell="F45" activePane="bottomRight" state="frozen"/>
      <selection pane="topRight" activeCell="F1" sqref="F1"/>
      <selection pane="bottomLeft" activeCell="A6" sqref="A6"/>
      <selection pane="bottomRight" activeCell="J69" sqref="J69"/>
    </sheetView>
  </sheetViews>
  <sheetFormatPr defaultRowHeight="14.4" x14ac:dyDescent="0.3"/>
  <cols>
    <col min="1" max="1" width="12.88671875" style="5" customWidth="1"/>
    <col min="2" max="2" width="10.6640625" style="12" customWidth="1"/>
    <col min="3" max="3" width="7.6640625" bestFit="1" customWidth="1"/>
    <col min="4" max="4" width="7.6640625" customWidth="1"/>
    <col min="5" max="5" width="34.33203125" bestFit="1" customWidth="1"/>
    <col min="6" max="6" width="11.109375" customWidth="1"/>
    <col min="7" max="7" width="11.6640625" customWidth="1"/>
    <col min="8" max="8" width="10.88671875" bestFit="1" customWidth="1"/>
    <col min="9" max="9" width="17.88671875" style="2" customWidth="1"/>
    <col min="10" max="10" width="10.109375" style="1" bestFit="1" customWidth="1"/>
    <col min="11" max="11" width="4.88671875" customWidth="1"/>
    <col min="12" max="12" width="8.33203125" style="2" bestFit="1" customWidth="1"/>
    <col min="13" max="13" width="8.33203125" style="2" customWidth="1"/>
    <col min="14" max="14" width="17.109375" style="1" bestFit="1" customWidth="1"/>
    <col min="15" max="15" width="17.109375" style="1" customWidth="1"/>
    <col min="16" max="16" width="5.5546875" style="3" customWidth="1"/>
    <col min="17" max="17" width="14.33203125" style="4" customWidth="1"/>
    <col min="18" max="18" width="12.88671875" style="4" bestFit="1" customWidth="1"/>
    <col min="19" max="19" width="14" style="4" bestFit="1" customWidth="1"/>
    <col min="20" max="20" width="14.33203125" style="4" customWidth="1"/>
    <col min="21" max="22" width="6" style="2" customWidth="1"/>
    <col min="23" max="23" width="10.33203125" style="3" bestFit="1" customWidth="1"/>
    <col min="24" max="24" width="8.6640625" style="3" bestFit="1" customWidth="1"/>
    <col min="25" max="26" width="7.6640625" style="3" bestFit="1" customWidth="1"/>
    <col min="27" max="27" width="7.5546875" style="4" bestFit="1" customWidth="1"/>
    <col min="28" max="28" width="6.5546875" style="3" customWidth="1"/>
    <col min="29" max="30" width="5.5546875" style="3" customWidth="1"/>
    <col min="31" max="31" width="5.44140625" style="3" customWidth="1"/>
    <col min="32" max="32" width="5.5546875" style="3" customWidth="1"/>
    <col min="33" max="33" width="5.44140625" style="2" customWidth="1"/>
    <col min="34" max="34" width="5.88671875" style="2" customWidth="1"/>
    <col min="35" max="36" width="5.44140625" style="3" customWidth="1"/>
    <col min="37" max="39" width="8.5546875" style="1" bestFit="1" customWidth="1"/>
    <col min="40" max="40" width="8.21875" style="1" bestFit="1" customWidth="1"/>
    <col min="41" max="41" width="8.5546875" style="1" bestFit="1" customWidth="1"/>
    <col min="42" max="42" width="16.88671875" bestFit="1" customWidth="1"/>
    <col min="43" max="43" width="14.6640625" bestFit="1" customWidth="1"/>
    <col min="44" max="44" width="16.88671875" customWidth="1"/>
  </cols>
  <sheetData>
    <row r="1" spans="1:44" x14ac:dyDescent="0.3">
      <c r="A1" s="5" t="s">
        <v>103</v>
      </c>
    </row>
    <row r="2" spans="1:44" x14ac:dyDescent="0.3">
      <c r="A2" s="5" t="s">
        <v>105</v>
      </c>
    </row>
    <row r="3" spans="1:44" x14ac:dyDescent="0.3">
      <c r="W3" s="3" t="s">
        <v>137</v>
      </c>
      <c r="X3" s="3" t="s">
        <v>137</v>
      </c>
      <c r="Y3" s="3" t="s">
        <v>137</v>
      </c>
      <c r="Z3" s="3" t="s">
        <v>137</v>
      </c>
      <c r="AA3" s="4" t="s">
        <v>137</v>
      </c>
      <c r="AB3" s="3" t="s">
        <v>137</v>
      </c>
      <c r="AC3" s="3" t="s">
        <v>137</v>
      </c>
      <c r="AD3" s="3" t="s">
        <v>137</v>
      </c>
      <c r="AE3" s="3" t="s">
        <v>137</v>
      </c>
      <c r="AF3" s="3" t="s">
        <v>137</v>
      </c>
      <c r="AG3" s="2" t="s">
        <v>137</v>
      </c>
      <c r="AH3" s="2" t="s">
        <v>137</v>
      </c>
      <c r="AI3" s="3" t="s">
        <v>137</v>
      </c>
    </row>
    <row r="4" spans="1:44" x14ac:dyDescent="0.3">
      <c r="A4" s="5" t="s">
        <v>0</v>
      </c>
      <c r="B4" s="12" t="s">
        <v>1</v>
      </c>
      <c r="C4" t="s">
        <v>208</v>
      </c>
      <c r="D4" t="s">
        <v>209</v>
      </c>
      <c r="E4" t="s">
        <v>3</v>
      </c>
      <c r="F4" t="s">
        <v>4</v>
      </c>
      <c r="G4" t="s">
        <v>5</v>
      </c>
      <c r="H4" t="s">
        <v>17</v>
      </c>
      <c r="I4" s="2" t="s">
        <v>110</v>
      </c>
      <c r="J4" s="1" t="s">
        <v>6</v>
      </c>
      <c r="K4" t="s">
        <v>91</v>
      </c>
      <c r="L4" s="2" t="s">
        <v>8</v>
      </c>
      <c r="M4" s="2" t="s">
        <v>118</v>
      </c>
      <c r="N4" s="1" t="s">
        <v>14</v>
      </c>
      <c r="O4" s="1" t="s">
        <v>119</v>
      </c>
      <c r="P4" s="3" t="s">
        <v>10</v>
      </c>
      <c r="Q4" s="4" t="s">
        <v>13</v>
      </c>
      <c r="R4" s="4" t="s">
        <v>120</v>
      </c>
      <c r="S4" s="4" t="s">
        <v>121</v>
      </c>
      <c r="T4" s="4" t="s">
        <v>122</v>
      </c>
      <c r="U4" s="2" t="s">
        <v>15</v>
      </c>
      <c r="V4" s="2" t="s">
        <v>15</v>
      </c>
      <c r="W4" s="3" t="s">
        <v>132</v>
      </c>
      <c r="X4" s="3" t="s">
        <v>133</v>
      </c>
      <c r="Y4" s="3" t="s">
        <v>124</v>
      </c>
      <c r="Z4" s="3" t="s">
        <v>125</v>
      </c>
      <c r="AA4" s="4" t="s">
        <v>126</v>
      </c>
      <c r="AB4" s="3" t="s">
        <v>127</v>
      </c>
      <c r="AC4" s="3" t="s">
        <v>128</v>
      </c>
      <c r="AD4" s="3" t="s">
        <v>129</v>
      </c>
      <c r="AE4" s="3" t="s">
        <v>130</v>
      </c>
      <c r="AF4" s="3" t="s">
        <v>131</v>
      </c>
      <c r="AG4" s="2" t="s">
        <v>134</v>
      </c>
      <c r="AH4" s="2" t="s">
        <v>135</v>
      </c>
      <c r="AI4" s="3" t="s">
        <v>136</v>
      </c>
      <c r="AK4" s="1" t="s">
        <v>138</v>
      </c>
      <c r="AL4" s="1" t="s">
        <v>139</v>
      </c>
      <c r="AM4" s="1" t="s">
        <v>124</v>
      </c>
      <c r="AN4" s="1" t="s">
        <v>125</v>
      </c>
      <c r="AO4" s="1" t="s">
        <v>126</v>
      </c>
      <c r="AP4" t="s">
        <v>97</v>
      </c>
      <c r="AQ4" t="s">
        <v>114</v>
      </c>
      <c r="AR4" t="s">
        <v>116</v>
      </c>
    </row>
    <row r="5" spans="1:44" x14ac:dyDescent="0.3">
      <c r="I5" s="2" t="s">
        <v>111</v>
      </c>
      <c r="J5" s="1" t="s">
        <v>7</v>
      </c>
      <c r="N5" s="1" t="s">
        <v>9</v>
      </c>
      <c r="O5" s="1" t="s">
        <v>9</v>
      </c>
      <c r="P5" s="3" t="s">
        <v>11</v>
      </c>
      <c r="Q5" s="4" t="s">
        <v>123</v>
      </c>
      <c r="R5" s="4" t="s">
        <v>123</v>
      </c>
      <c r="S5" s="4" t="s">
        <v>123</v>
      </c>
      <c r="T5" s="4" t="s">
        <v>123</v>
      </c>
      <c r="U5" s="2" t="s">
        <v>12</v>
      </c>
      <c r="V5" s="2" t="s">
        <v>16</v>
      </c>
      <c r="W5" s="3" t="s">
        <v>12</v>
      </c>
      <c r="X5" s="3" t="s">
        <v>12</v>
      </c>
      <c r="Y5" s="3" t="s">
        <v>12</v>
      </c>
      <c r="Z5" s="3" t="s">
        <v>12</v>
      </c>
      <c r="AA5" s="4" t="s">
        <v>12</v>
      </c>
      <c r="AB5" s="3" t="s">
        <v>12</v>
      </c>
      <c r="AC5" s="3" t="s">
        <v>12</v>
      </c>
      <c r="AD5" s="3" t="s">
        <v>12</v>
      </c>
      <c r="AE5" s="3" t="s">
        <v>12</v>
      </c>
      <c r="AF5" s="3" t="s">
        <v>12</v>
      </c>
      <c r="AG5" s="2" t="s">
        <v>12</v>
      </c>
      <c r="AH5" s="2" t="s">
        <v>12</v>
      </c>
      <c r="AI5" s="3" t="s">
        <v>12</v>
      </c>
      <c r="AK5" s="1" t="s">
        <v>140</v>
      </c>
      <c r="AL5" s="1" t="s">
        <v>140</v>
      </c>
      <c r="AM5" s="1" t="s">
        <v>140</v>
      </c>
      <c r="AN5" s="1" t="s">
        <v>140</v>
      </c>
      <c r="AO5" s="1" t="s">
        <v>140</v>
      </c>
      <c r="AQ5" t="s">
        <v>115</v>
      </c>
      <c r="AR5" t="s">
        <v>115</v>
      </c>
    </row>
    <row r="7" spans="1:44" x14ac:dyDescent="0.3">
      <c r="A7" s="5">
        <v>44845</v>
      </c>
      <c r="B7" s="12" t="s">
        <v>20</v>
      </c>
      <c r="C7" t="s">
        <v>146</v>
      </c>
      <c r="D7">
        <v>60149</v>
      </c>
      <c r="E7" t="s">
        <v>21</v>
      </c>
      <c r="F7" s="11">
        <v>40.645299999999999</v>
      </c>
      <c r="G7" s="11">
        <v>-79.036760000000001</v>
      </c>
      <c r="H7" t="s">
        <v>90</v>
      </c>
      <c r="I7" s="2">
        <v>0.7</v>
      </c>
      <c r="J7" s="1">
        <v>8575</v>
      </c>
      <c r="K7" t="s">
        <v>96</v>
      </c>
      <c r="L7" s="2">
        <v>7.81</v>
      </c>
      <c r="M7" s="2">
        <v>7.4</v>
      </c>
      <c r="N7" s="1">
        <v>475</v>
      </c>
      <c r="O7" s="1">
        <v>479</v>
      </c>
      <c r="P7" s="3">
        <v>8.6</v>
      </c>
      <c r="Q7" s="4">
        <v>76.5</v>
      </c>
      <c r="R7" s="4">
        <v>68.599999999999994</v>
      </c>
      <c r="S7" s="4">
        <v>-58.4</v>
      </c>
      <c r="T7" s="4" cm="1">
        <f t="array" ref="T7">_xlfn.IFS(L7&lt;=5,IF(ISNUMBER(X7)=TRUE,X7*1.79+Z7*1.8+Y7*5.56+50000*(10^-L7)-Q7,1.79+Z7*1.8+Y7*5.56+50000*(10^-L7)-Q7),L7&gt;5,IF(ISNUMBER(X7)=TRUE,X7*1.79+Z7*1.8+50000*(10^-L7)-Q7,Z7*1.8+50000*(10^-L7)-Q7))</f>
        <v>-75.57540559169054</v>
      </c>
      <c r="U7" s="2">
        <v>11.3</v>
      </c>
      <c r="V7" s="2">
        <v>97</v>
      </c>
      <c r="W7" s="3">
        <v>1.095</v>
      </c>
      <c r="X7" s="3">
        <v>0.13800000000000001</v>
      </c>
      <c r="Y7" s="3">
        <v>0.82499999999999996</v>
      </c>
      <c r="Z7" s="3">
        <v>0.376</v>
      </c>
      <c r="AA7" s="4">
        <v>154.19999999999999</v>
      </c>
      <c r="AB7" s="3">
        <v>46.14</v>
      </c>
      <c r="AC7" s="8">
        <v>13.96</v>
      </c>
      <c r="AD7" s="8">
        <v>28.33</v>
      </c>
      <c r="AE7" s="3">
        <v>2.04</v>
      </c>
      <c r="AF7" s="3">
        <v>10.6</v>
      </c>
      <c r="AG7" s="2" t="s">
        <v>161</v>
      </c>
      <c r="AH7" s="2" t="s">
        <v>162</v>
      </c>
      <c r="AI7" s="3" t="s">
        <v>159</v>
      </c>
      <c r="AK7" s="1">
        <f>S7*J7*0.012</f>
        <v>-6009.36</v>
      </c>
      <c r="AL7" s="1">
        <f>W7*J7*0.012</f>
        <v>112.6755</v>
      </c>
      <c r="AM7" s="1">
        <f>Y7*J7*0.012</f>
        <v>84.892499999999998</v>
      </c>
      <c r="AN7" s="1">
        <f>Z7*J7*0.012</f>
        <v>38.690399999999997</v>
      </c>
      <c r="AO7" s="1">
        <f>AA7*J7*0.012</f>
        <v>15867.18</v>
      </c>
      <c r="AQ7" s="13" t="str">
        <f>CONCATENATE(TEXT(ROUNDDOWN(ABS(F7),0),"00"),"° ",TEXT(ROUNDDOWN(ABS((F7-ROUNDDOWN(F7,0))*60),0),"00"),"' ",TEXT(TRUNC((ABS((F7-ROUNDDOWN(F7,0))*60)-ROUNDDOWN(ABS((F7-ROUNDDOWN(F7,0))*60),0))*60,2),"00.00"),"""",IF(F7&lt;0," S"," N"))</f>
        <v>40° 38' 43.07" N</v>
      </c>
      <c r="AR7" s="13" t="str">
        <f>CONCATENATE(TEXT(ROUNDDOWN(ABS(G7),0),"000"),"° ",TEXT(ROUNDDOWN(ABS((G7-ROUNDDOWN(G7,0))*60),0),"00"),"' ",TEXT(TRUNC((ABS((G7-ROUNDDOWN(G7,0))*60)-ROUNDDOWN(ABS((G7-ROUNDDOWN(G7,0))*60),0))*60,2),"00.00"),"""",IF(G7&lt;0," W"," E"))</f>
        <v>079° 02' 12.33" W</v>
      </c>
    </row>
    <row r="8" spans="1:44" x14ac:dyDescent="0.3">
      <c r="A8" s="5">
        <v>44845</v>
      </c>
      <c r="B8" s="12" t="s">
        <v>24</v>
      </c>
      <c r="C8" t="s">
        <v>25</v>
      </c>
      <c r="E8" t="s">
        <v>26</v>
      </c>
      <c r="F8" s="11">
        <v>40.658344</v>
      </c>
      <c r="G8" s="11">
        <v>-79.024439000000001</v>
      </c>
      <c r="H8" t="s">
        <v>90</v>
      </c>
      <c r="I8" s="2">
        <v>2</v>
      </c>
      <c r="J8" s="1">
        <v>8642</v>
      </c>
      <c r="K8" t="s">
        <v>96</v>
      </c>
      <c r="L8" s="2">
        <v>7.55</v>
      </c>
      <c r="M8" s="2">
        <v>7.4</v>
      </c>
      <c r="N8" s="1">
        <v>473</v>
      </c>
      <c r="O8" s="1">
        <v>471</v>
      </c>
      <c r="P8" s="3">
        <v>11.2</v>
      </c>
      <c r="Q8" s="4">
        <v>73</v>
      </c>
      <c r="R8" s="4">
        <v>72.400000000000006</v>
      </c>
      <c r="S8" s="4">
        <v>-61.8</v>
      </c>
      <c r="T8" s="4" cm="1">
        <f t="array" ref="T8">_xlfn.IFS(L8&lt;=5,IF(ISNUMBER(X8)=TRUE,X8*1.79+Z8*1.8+Y8*5.56+50000*(10^-L8)-Q8,1.79+Z8*1.8+Y8*5.56+50000*(10^-L8)-Q8),L8&gt;5,IF(ISNUMBER(X8)=TRUE,X8*1.79+Z8*1.8+50000*(10^-L8)-Q8,Z8*1.8+50000*(10^-L8)-Q8))</f>
        <v>-71.972690808534367</v>
      </c>
      <c r="U8" s="2">
        <v>10.199999999999999</v>
      </c>
      <c r="V8" s="2">
        <v>93</v>
      </c>
      <c r="W8" s="3">
        <v>1.534</v>
      </c>
      <c r="X8" s="3">
        <v>0.19</v>
      </c>
      <c r="Y8" s="3">
        <v>0.84799999999999998</v>
      </c>
      <c r="Z8" s="3">
        <v>0.38100000000000001</v>
      </c>
      <c r="AA8" s="4">
        <v>154.5</v>
      </c>
      <c r="AB8" s="3">
        <v>46.18</v>
      </c>
      <c r="AC8" s="8">
        <v>14.19</v>
      </c>
      <c r="AD8" s="8">
        <v>28.81</v>
      </c>
      <c r="AE8" s="3">
        <v>2.13</v>
      </c>
      <c r="AF8" s="3">
        <v>10.8</v>
      </c>
      <c r="AG8" s="2" t="s">
        <v>161</v>
      </c>
      <c r="AH8" s="2" t="s">
        <v>162</v>
      </c>
      <c r="AI8" s="3" t="s">
        <v>159</v>
      </c>
      <c r="AK8" s="1">
        <f t="shared" ref="AK8:AK14" si="0">S8*J8*0.012</f>
        <v>-6408.9071999999996</v>
      </c>
      <c r="AL8" s="1">
        <f t="shared" ref="AL8:AL14" si="1">W8*J8*0.012</f>
        <v>159.08193599999998</v>
      </c>
      <c r="AM8" s="1">
        <f t="shared" ref="AM8:AM14" si="2">Y8*J8*0.012</f>
        <v>87.940992000000008</v>
      </c>
      <c r="AN8" s="1">
        <f t="shared" ref="AN8:AN14" si="3">Z8*J8*0.012</f>
        <v>39.511223999999999</v>
      </c>
      <c r="AO8" s="1">
        <f t="shared" ref="AO8:AO14" si="4">AA8*J8*0.012</f>
        <v>16022.268</v>
      </c>
      <c r="AQ8" s="13" t="str">
        <f t="shared" ref="AQ8:AQ14" si="5">CONCATENATE(TEXT(ROUNDDOWN(ABS(F8),0),"00"),"° ",TEXT(ROUNDDOWN(ABS((F8-ROUNDDOWN(F8,0))*60),0),"00"),"' ",TEXT(TRUNC((ABS((F8-ROUNDDOWN(F8,0))*60)-ROUNDDOWN(ABS((F8-ROUNDDOWN(F8,0))*60),0))*60,2),"00.00"),"""",IF(F8&lt;0," S"," N"))</f>
        <v>40° 39' 30.03" N</v>
      </c>
      <c r="AR8" s="13" t="str">
        <f t="shared" ref="AR8:AR14" si="6">CONCATENATE(TEXT(ROUNDDOWN(ABS(G8),0),"000"),"° ",TEXT(ROUNDDOWN(ABS((G8-ROUNDDOWN(G8,0))*60),0),"00"),"' ",TEXT(TRUNC((ABS((G8-ROUNDDOWN(G8,0))*60)-ROUNDDOWN(ABS((G8-ROUNDDOWN(G8,0))*60),0))*60,2),"00.00"),"""",IF(G8&lt;0," W"," E"))</f>
        <v>079° 01' 27.98" W</v>
      </c>
    </row>
    <row r="9" spans="1:44" x14ac:dyDescent="0.3">
      <c r="A9" s="5">
        <v>44845</v>
      </c>
      <c r="B9" s="12" t="s">
        <v>29</v>
      </c>
      <c r="C9" t="s">
        <v>30</v>
      </c>
      <c r="E9" t="s">
        <v>31</v>
      </c>
      <c r="F9" s="11">
        <v>40.669035000000001</v>
      </c>
      <c r="G9" s="11">
        <v>-79.013497999999998</v>
      </c>
      <c r="H9" t="s">
        <v>92</v>
      </c>
      <c r="I9" s="2">
        <v>2.95</v>
      </c>
      <c r="J9" s="1">
        <v>6719</v>
      </c>
      <c r="K9" t="s">
        <v>96</v>
      </c>
      <c r="L9" s="2">
        <v>7.76</v>
      </c>
      <c r="M9" s="2">
        <v>7.5</v>
      </c>
      <c r="N9" s="1">
        <v>408</v>
      </c>
      <c r="O9" s="1">
        <v>413</v>
      </c>
      <c r="P9" s="3">
        <v>10.199999999999999</v>
      </c>
      <c r="Q9" s="4">
        <v>98</v>
      </c>
      <c r="R9" s="4">
        <v>87.8</v>
      </c>
      <c r="S9" s="4">
        <v>-75.400000000000006</v>
      </c>
      <c r="T9" s="4" cm="1">
        <f t="array" ref="T9">_xlfn.IFS(L9&lt;=5,IF(ISNUMBER(X9)=TRUE,X9*1.79+Z9*1.8+Y9*5.56+50000*(10^-L9)-Q9,1.79+Z9*1.8+Y9*5.56+50000*(10^-L9)-Q9),L9&gt;5,IF(ISNUMBER(X9)=TRUE,X9*1.79+Z9*1.8+50000*(10^-L9)-Q9,Z9*1.8+50000*(10^-L9)-Q9))</f>
        <v>-97.397521099585632</v>
      </c>
      <c r="U9" s="2">
        <v>9.4499999999999993</v>
      </c>
      <c r="V9" s="2">
        <v>88.4</v>
      </c>
      <c r="W9" s="3">
        <v>1.1339999999999999</v>
      </c>
      <c r="X9" s="3">
        <v>0.13900000000000001</v>
      </c>
      <c r="Y9" s="3">
        <v>0.44</v>
      </c>
      <c r="Z9" s="3">
        <v>0.19600000000000001</v>
      </c>
      <c r="AA9" s="4">
        <v>105.49</v>
      </c>
      <c r="AB9" s="3">
        <v>38.19</v>
      </c>
      <c r="AC9" s="8">
        <v>11</v>
      </c>
      <c r="AD9" s="8">
        <v>31.08</v>
      </c>
      <c r="AE9" s="3">
        <v>1.97</v>
      </c>
      <c r="AF9" s="3">
        <v>10.6</v>
      </c>
      <c r="AG9" s="2" t="s">
        <v>161</v>
      </c>
      <c r="AH9" s="2" t="s">
        <v>162</v>
      </c>
      <c r="AI9" s="3" t="s">
        <v>159</v>
      </c>
      <c r="AK9" s="1">
        <f t="shared" si="0"/>
        <v>-6079.351200000001</v>
      </c>
      <c r="AL9" s="1">
        <f t="shared" si="1"/>
        <v>91.432152000000002</v>
      </c>
      <c r="AM9" s="1">
        <f t="shared" si="2"/>
        <v>35.476320000000001</v>
      </c>
      <c r="AN9" s="1">
        <f t="shared" si="3"/>
        <v>15.803088000000001</v>
      </c>
      <c r="AO9" s="1">
        <f t="shared" si="4"/>
        <v>8505.4477200000001</v>
      </c>
      <c r="AQ9" s="13" t="str">
        <f t="shared" si="5"/>
        <v>40° 40' 08.52" N</v>
      </c>
      <c r="AR9" s="13" t="str">
        <f t="shared" si="6"/>
        <v>079° 00' 48.59" W</v>
      </c>
    </row>
    <row r="10" spans="1:44" x14ac:dyDescent="0.3">
      <c r="A10" s="5">
        <v>44845</v>
      </c>
      <c r="B10" s="12" t="s">
        <v>34</v>
      </c>
      <c r="C10" t="s">
        <v>35</v>
      </c>
      <c r="E10" t="s">
        <v>36</v>
      </c>
      <c r="F10" s="11">
        <v>40.672021999999998</v>
      </c>
      <c r="G10" s="11">
        <v>-79.002600000000001</v>
      </c>
      <c r="H10" t="s">
        <v>92</v>
      </c>
      <c r="I10" s="2">
        <v>3.7</v>
      </c>
      <c r="J10" s="1">
        <v>6994</v>
      </c>
      <c r="K10" t="s">
        <v>96</v>
      </c>
      <c r="L10" s="2">
        <v>7.62</v>
      </c>
      <c r="M10" s="2">
        <v>7.6</v>
      </c>
      <c r="N10" s="1">
        <v>407</v>
      </c>
      <c r="O10" s="1">
        <v>410</v>
      </c>
      <c r="P10" s="3">
        <v>10.6</v>
      </c>
      <c r="Q10" s="4">
        <v>93</v>
      </c>
      <c r="R10" s="4">
        <v>91.8</v>
      </c>
      <c r="S10" s="4">
        <v>-78.2</v>
      </c>
      <c r="T10" s="4" cm="1">
        <f t="array" ref="T10">_xlfn.IFS(L10&lt;=5,IF(ISNUMBER(X10)=TRUE,X10*1.79+Z10*1.8+Y10*5.56+50000*(10^-L10)-Q10,1.79+Z10*1.8+Y10*5.56+50000*(10^-L10)-Q10),L10&gt;5,IF(ISNUMBER(X10)=TRUE,X10*1.79+Z10*1.8+50000*(10^-L10)-Q10,Z10*1.8+50000*(10^-L10)-Q10))</f>
        <v>-92.304070583540494</v>
      </c>
      <c r="U10" s="2">
        <v>10.029999999999999</v>
      </c>
      <c r="V10" s="2">
        <v>90.2</v>
      </c>
      <c r="W10" s="3">
        <v>1.7370000000000001</v>
      </c>
      <c r="X10" s="3">
        <v>0.187</v>
      </c>
      <c r="Y10" s="3">
        <v>0.59</v>
      </c>
      <c r="Z10" s="3">
        <v>0.2</v>
      </c>
      <c r="AA10" s="4">
        <v>99.55</v>
      </c>
      <c r="AB10" s="3">
        <v>37.35</v>
      </c>
      <c r="AC10" s="8">
        <v>10.55</v>
      </c>
      <c r="AD10" s="8">
        <v>32.79</v>
      </c>
      <c r="AE10" s="3">
        <v>2</v>
      </c>
      <c r="AF10" s="3">
        <v>9.9</v>
      </c>
      <c r="AG10" s="2" t="s">
        <v>161</v>
      </c>
      <c r="AH10" s="2" t="s">
        <v>162</v>
      </c>
      <c r="AI10" s="3" t="s">
        <v>159</v>
      </c>
      <c r="AK10" s="1">
        <f t="shared" si="0"/>
        <v>-6563.1696000000011</v>
      </c>
      <c r="AL10" s="1">
        <f t="shared" si="1"/>
        <v>145.78293600000001</v>
      </c>
      <c r="AM10" s="1">
        <f t="shared" si="2"/>
        <v>49.517520000000005</v>
      </c>
      <c r="AN10" s="1">
        <f t="shared" si="3"/>
        <v>16.785600000000002</v>
      </c>
      <c r="AO10" s="1">
        <f t="shared" si="4"/>
        <v>8355.0324000000001</v>
      </c>
      <c r="AQ10" s="13" t="str">
        <f t="shared" si="5"/>
        <v>40° 40' 19.27" N</v>
      </c>
      <c r="AR10" s="13" t="str">
        <f t="shared" si="6"/>
        <v>079° 00' 09.36" W</v>
      </c>
    </row>
    <row r="11" spans="1:44" x14ac:dyDescent="0.3">
      <c r="A11" s="5">
        <v>44845</v>
      </c>
      <c r="B11" s="12" t="s">
        <v>40</v>
      </c>
      <c r="C11" t="s">
        <v>41</v>
      </c>
      <c r="E11" t="s">
        <v>42</v>
      </c>
      <c r="F11" s="11">
        <v>40.657780000000002</v>
      </c>
      <c r="G11" s="11">
        <v>-78.975070000000002</v>
      </c>
      <c r="H11" t="s">
        <v>93</v>
      </c>
      <c r="I11" s="2">
        <v>5.95</v>
      </c>
      <c r="J11" s="1">
        <f>13.12*449</f>
        <v>5890.8799999999992</v>
      </c>
      <c r="K11" t="s">
        <v>96</v>
      </c>
      <c r="L11" s="2">
        <v>7.74</v>
      </c>
      <c r="M11" s="2">
        <v>7.7</v>
      </c>
      <c r="N11" s="1">
        <v>378</v>
      </c>
      <c r="O11" s="1">
        <v>382</v>
      </c>
      <c r="P11" s="3">
        <v>8.1</v>
      </c>
      <c r="Q11" s="4">
        <f>AVERAGE(104, 106)</f>
        <v>105</v>
      </c>
      <c r="R11" s="4">
        <v>106</v>
      </c>
      <c r="S11" s="4">
        <v>-83.8</v>
      </c>
      <c r="T11" s="4" cm="1">
        <f t="array" ref="T11">_xlfn.IFS(L11&lt;=5,IF(ISNUMBER(X11)=TRUE,X11*1.79+Z11*1.8+Y11*5.56+50000*(10^-L11)-Q11,1.79+Z11*1.8+Y11*5.56+50000*(10^-L11)-Q11),L11&gt;5,IF(ISNUMBER(X11)=TRUE,X11*1.79+Z11*1.8+50000*(10^-L11)-Q11,Z11*1.8+50000*(10^-L11)-Q11))</f>
        <v>-104.5094501495707</v>
      </c>
      <c r="U11" s="2">
        <v>11.51</v>
      </c>
      <c r="V11" s="2">
        <v>96.7</v>
      </c>
      <c r="W11" s="3">
        <v>0.71799999999999997</v>
      </c>
      <c r="X11" s="3">
        <v>0.17599999999999999</v>
      </c>
      <c r="Y11" s="3">
        <v>0.40600000000000003</v>
      </c>
      <c r="Z11" s="3">
        <v>9.7000000000000003E-2</v>
      </c>
      <c r="AA11" s="4">
        <v>70.95</v>
      </c>
      <c r="AB11" s="3">
        <v>30.9</v>
      </c>
      <c r="AC11" s="8">
        <v>8.8800000000000008</v>
      </c>
      <c r="AD11" s="8">
        <v>32.76</v>
      </c>
      <c r="AE11" s="3">
        <v>1.71</v>
      </c>
      <c r="AF11" s="3">
        <v>9.9</v>
      </c>
      <c r="AG11" s="2" t="s">
        <v>161</v>
      </c>
      <c r="AH11" s="2" t="s">
        <v>162</v>
      </c>
      <c r="AI11" s="3" t="s">
        <v>159</v>
      </c>
      <c r="AK11" s="1">
        <f t="shared" si="0"/>
        <v>-5923.868927999999</v>
      </c>
      <c r="AL11" s="1">
        <f t="shared" si="1"/>
        <v>50.755822079999994</v>
      </c>
      <c r="AM11" s="1">
        <f t="shared" si="2"/>
        <v>28.700367359999998</v>
      </c>
      <c r="AN11" s="1">
        <f t="shared" si="3"/>
        <v>6.8569843199999996</v>
      </c>
      <c r="AO11" s="1">
        <f t="shared" si="4"/>
        <v>5015.4952320000002</v>
      </c>
      <c r="AP11" t="s">
        <v>98</v>
      </c>
      <c r="AQ11" s="13" t="str">
        <f t="shared" si="5"/>
        <v>40° 39' 28.00" N</v>
      </c>
      <c r="AR11" s="13" t="str">
        <f t="shared" si="6"/>
        <v>078° 58' 30.25" W</v>
      </c>
    </row>
    <row r="12" spans="1:44" x14ac:dyDescent="0.3">
      <c r="A12" s="5">
        <v>44845</v>
      </c>
      <c r="B12" s="12" t="s">
        <v>43</v>
      </c>
      <c r="C12" t="s">
        <v>44</v>
      </c>
      <c r="E12" t="s">
        <v>45</v>
      </c>
      <c r="F12" s="11">
        <v>40.66272</v>
      </c>
      <c r="G12" s="11">
        <v>-78.968819999999994</v>
      </c>
      <c r="H12" t="s">
        <v>93</v>
      </c>
      <c r="I12" s="2">
        <v>6.9</v>
      </c>
      <c r="J12" s="1">
        <f>12.63*449</f>
        <v>5670.8700000000008</v>
      </c>
      <c r="K12" t="s">
        <v>96</v>
      </c>
      <c r="L12" s="2">
        <v>7.99</v>
      </c>
      <c r="M12" s="2">
        <v>8</v>
      </c>
      <c r="N12" s="1">
        <v>383</v>
      </c>
      <c r="O12" s="1">
        <v>384</v>
      </c>
      <c r="P12" s="3">
        <v>8.3000000000000007</v>
      </c>
      <c r="Q12" s="4">
        <f>AVERAGE(121,118)</f>
        <v>119.5</v>
      </c>
      <c r="R12" s="4">
        <v>116.2</v>
      </c>
      <c r="S12" s="4">
        <v>-98.2</v>
      </c>
      <c r="T12" s="4" cm="1">
        <f t="array" ref="T12">_xlfn.IFS(L12&lt;=5,IF(ISNUMBER(X12)=TRUE,X12*1.79+Z12*1.8+Y12*5.56+50000*(10^-L12)-Q12,1.79+Z12*1.8+Y12*5.56+50000*(10^-L12)-Q12),L12&gt;5,IF(ISNUMBER(X12)=TRUE,X12*1.79+Z12*1.8+50000*(10^-L12)-Q12,Z12*1.8+50000*(10^-L12)-Q12))</f>
        <v>-119.15864835350386</v>
      </c>
      <c r="U12" s="2">
        <v>11.53</v>
      </c>
      <c r="V12" s="2">
        <v>97</v>
      </c>
      <c r="W12" s="3">
        <v>0.26400000000000001</v>
      </c>
      <c r="X12" s="3">
        <v>0.11600000000000001</v>
      </c>
      <c r="Y12" s="3">
        <v>0.3</v>
      </c>
      <c r="Z12" s="3">
        <v>7.3999999999999996E-2</v>
      </c>
      <c r="AA12" s="4">
        <v>64.33</v>
      </c>
      <c r="AB12" s="3">
        <v>31.36</v>
      </c>
      <c r="AC12" s="8">
        <v>8.9</v>
      </c>
      <c r="AD12" s="8">
        <v>35.29</v>
      </c>
      <c r="AE12" s="3">
        <v>1.72</v>
      </c>
      <c r="AF12" s="3">
        <v>10.1</v>
      </c>
      <c r="AG12" s="2" t="s">
        <v>161</v>
      </c>
      <c r="AH12" s="2" t="s">
        <v>162</v>
      </c>
      <c r="AI12" s="3" t="s">
        <v>159</v>
      </c>
      <c r="AK12" s="1">
        <f t="shared" si="0"/>
        <v>-6682.5532080000021</v>
      </c>
      <c r="AL12" s="1">
        <f t="shared" si="1"/>
        <v>17.965316160000004</v>
      </c>
      <c r="AM12" s="1">
        <f t="shared" si="2"/>
        <v>20.415132000000003</v>
      </c>
      <c r="AN12" s="1">
        <f t="shared" si="3"/>
        <v>5.0357325600000005</v>
      </c>
      <c r="AO12" s="1">
        <f t="shared" si="4"/>
        <v>4377.6848052000005</v>
      </c>
      <c r="AP12" t="s">
        <v>99</v>
      </c>
      <c r="AQ12" s="13" t="str">
        <f t="shared" si="5"/>
        <v>40° 39' 45.79" N</v>
      </c>
      <c r="AR12" s="13" t="str">
        <f t="shared" si="6"/>
        <v>078° 58' 07.75" W</v>
      </c>
    </row>
    <row r="13" spans="1:44" x14ac:dyDescent="0.3">
      <c r="A13" s="5">
        <v>44845</v>
      </c>
      <c r="B13" s="12" t="s">
        <v>48</v>
      </c>
      <c r="C13" t="s">
        <v>49</v>
      </c>
      <c r="E13" t="s">
        <v>602</v>
      </c>
      <c r="F13" s="11">
        <v>40.67557</v>
      </c>
      <c r="G13" s="11">
        <v>-78.963009999999997</v>
      </c>
      <c r="H13" t="s">
        <v>93</v>
      </c>
      <c r="I13" s="2">
        <v>8.39</v>
      </c>
      <c r="J13" s="1">
        <f>4.23*449</f>
        <v>1899.2700000000002</v>
      </c>
      <c r="K13" t="s">
        <v>96</v>
      </c>
      <c r="L13" s="2">
        <v>7.95</v>
      </c>
      <c r="M13" s="2">
        <v>7.5</v>
      </c>
      <c r="N13" s="1">
        <v>436</v>
      </c>
      <c r="O13" s="1">
        <v>440</v>
      </c>
      <c r="P13" s="3">
        <v>9</v>
      </c>
      <c r="Q13" s="4">
        <f>AVERAGE(68,67)</f>
        <v>67.5</v>
      </c>
      <c r="R13" s="4">
        <v>63.8</v>
      </c>
      <c r="S13" s="4">
        <v>-51.6</v>
      </c>
      <c r="T13" s="4" cm="1">
        <f t="array" ref="T13">_xlfn.IFS(L13&lt;=5,IF(ISNUMBER(X13)=TRUE,X13*1.79+Z13*1.8+Y13*5.56+50000*(10^-L13)-Q13,1.79+Z13*1.8+Y13*5.56+50000*(10^-L13)-Q13),L13&gt;5,IF(ISNUMBER(X13)=TRUE,X13*1.79+Z13*1.8+50000*(10^-L13)-Q13,Z13*1.8+50000*(10^-L13)-Q13))</f>
        <v>-66.949708990772848</v>
      </c>
      <c r="U13" s="2">
        <v>11.28</v>
      </c>
      <c r="V13" s="2">
        <v>97.2</v>
      </c>
      <c r="W13" s="3">
        <v>0.317</v>
      </c>
      <c r="X13" s="3">
        <v>0.107</v>
      </c>
      <c r="Y13" s="3">
        <v>0.3</v>
      </c>
      <c r="Z13" s="3">
        <v>0.19900000000000001</v>
      </c>
      <c r="AA13" s="4">
        <v>145.83000000000001</v>
      </c>
      <c r="AB13" s="3">
        <v>52.15</v>
      </c>
      <c r="AC13" s="8">
        <v>15.19</v>
      </c>
      <c r="AD13" s="8">
        <v>12.32</v>
      </c>
      <c r="AE13" s="3">
        <v>2.16</v>
      </c>
      <c r="AF13" s="3">
        <v>10.3</v>
      </c>
      <c r="AG13" s="2" t="s">
        <v>161</v>
      </c>
      <c r="AH13" s="2" t="s">
        <v>162</v>
      </c>
      <c r="AI13" s="3" t="s">
        <v>159</v>
      </c>
      <c r="AK13" s="1">
        <f t="shared" si="0"/>
        <v>-1176.0279840000001</v>
      </c>
      <c r="AL13" s="1">
        <f t="shared" si="1"/>
        <v>7.2248230800000011</v>
      </c>
      <c r="AM13" s="1">
        <f t="shared" si="2"/>
        <v>6.8373720000000011</v>
      </c>
      <c r="AN13" s="1">
        <f t="shared" si="3"/>
        <v>4.5354567600000006</v>
      </c>
      <c r="AO13" s="1">
        <f t="shared" si="4"/>
        <v>3323.6465292000007</v>
      </c>
      <c r="AP13" t="s">
        <v>100</v>
      </c>
      <c r="AQ13" s="13" t="str">
        <f t="shared" si="5"/>
        <v>40° 40' 32.05" N</v>
      </c>
      <c r="AR13" s="13" t="str">
        <f t="shared" si="6"/>
        <v>078° 57' 46.83" W</v>
      </c>
    </row>
    <row r="14" spans="1:44" x14ac:dyDescent="0.3">
      <c r="A14" s="5">
        <v>44845</v>
      </c>
      <c r="B14" s="12" t="s">
        <v>50</v>
      </c>
      <c r="C14" t="s">
        <v>51</v>
      </c>
      <c r="E14" t="s">
        <v>112</v>
      </c>
      <c r="F14" s="11">
        <v>40.69773</v>
      </c>
      <c r="G14" s="11">
        <v>-78.958299999999994</v>
      </c>
      <c r="H14" t="s">
        <v>93</v>
      </c>
      <c r="I14" s="2">
        <v>10.16</v>
      </c>
      <c r="J14" s="1">
        <f>3.52*449</f>
        <v>1580.48</v>
      </c>
      <c r="K14" t="s">
        <v>96</v>
      </c>
      <c r="L14" s="2">
        <v>7.58</v>
      </c>
      <c r="M14" s="2">
        <v>7.4</v>
      </c>
      <c r="N14" s="1">
        <v>411</v>
      </c>
      <c r="O14" s="1">
        <v>416</v>
      </c>
      <c r="P14" s="3">
        <v>10.9</v>
      </c>
      <c r="Q14" s="4">
        <f>AVERAGE(63,65)</f>
        <v>64</v>
      </c>
      <c r="R14" s="4">
        <v>61</v>
      </c>
      <c r="S14" s="4">
        <v>-50.4</v>
      </c>
      <c r="T14" s="4" cm="1">
        <f t="array" ref="T14">_xlfn.IFS(L14&lt;=5,IF(ISNUMBER(X14)=TRUE,X14*1.79+Z14*1.8+Y14*5.56+50000*(10^-L14)-Q14,1.79+Z14*1.8+Y14*5.56+50000*(10^-L14)-Q14),L14&gt;5,IF(ISNUMBER(X14)=TRUE,X14*1.79+Z14*1.8+50000*(10^-L14)-Q14,Z14*1.8+50000*(10^-L14)-Q14))</f>
        <v>-63.585484866004052</v>
      </c>
      <c r="U14" s="2">
        <v>10.72</v>
      </c>
      <c r="V14" s="2">
        <v>96.8</v>
      </c>
      <c r="W14" s="3">
        <v>0.182</v>
      </c>
      <c r="X14" s="3">
        <v>0.08</v>
      </c>
      <c r="Y14" s="3">
        <v>0.3</v>
      </c>
      <c r="Z14" s="3">
        <v>0.15</v>
      </c>
      <c r="AA14" s="4">
        <v>135.22999999999999</v>
      </c>
      <c r="AB14" s="3">
        <v>48.19</v>
      </c>
      <c r="AC14" s="8">
        <v>13.4</v>
      </c>
      <c r="AD14" s="8">
        <v>11.02</v>
      </c>
      <c r="AE14" s="3">
        <v>1.9</v>
      </c>
      <c r="AF14" s="3">
        <v>9.9</v>
      </c>
      <c r="AG14" s="2" t="s">
        <v>161</v>
      </c>
      <c r="AH14" s="2" t="s">
        <v>162</v>
      </c>
      <c r="AI14" s="3" t="s">
        <v>159</v>
      </c>
      <c r="AK14" s="1">
        <f t="shared" si="0"/>
        <v>-955.87430399999994</v>
      </c>
      <c r="AL14" s="1">
        <f t="shared" si="1"/>
        <v>3.4517683199999998</v>
      </c>
      <c r="AM14" s="1">
        <f t="shared" si="2"/>
        <v>5.6897280000000006</v>
      </c>
      <c r="AN14" s="1">
        <f t="shared" si="3"/>
        <v>2.8448640000000003</v>
      </c>
      <c r="AO14" s="1">
        <f t="shared" si="4"/>
        <v>2564.7397247999997</v>
      </c>
      <c r="AP14" t="s">
        <v>101</v>
      </c>
      <c r="AQ14" s="13" t="str">
        <f t="shared" si="5"/>
        <v>40° 41' 51.82" N</v>
      </c>
      <c r="AR14" s="13" t="str">
        <f t="shared" si="6"/>
        <v>078° 57' 29.87" W</v>
      </c>
    </row>
    <row r="15" spans="1:44" x14ac:dyDescent="0.3">
      <c r="F15" s="11"/>
      <c r="G15" s="11"/>
      <c r="AC15" s="8"/>
      <c r="AD15" s="8"/>
      <c r="AQ15" s="13"/>
      <c r="AR15" s="13"/>
    </row>
    <row r="16" spans="1:44" x14ac:dyDescent="0.3">
      <c r="A16" s="5">
        <v>44903</v>
      </c>
      <c r="B16" s="12" t="s">
        <v>20</v>
      </c>
      <c r="C16" t="s">
        <v>146</v>
      </c>
      <c r="D16">
        <v>60149</v>
      </c>
      <c r="E16" t="s">
        <v>21</v>
      </c>
      <c r="F16" s="11">
        <v>40.645299999999999</v>
      </c>
      <c r="G16" s="11">
        <v>-79.036760000000001</v>
      </c>
      <c r="H16" t="s">
        <v>90</v>
      </c>
      <c r="I16" s="2">
        <v>0.7</v>
      </c>
      <c r="J16" s="1">
        <v>33631</v>
      </c>
      <c r="K16" t="s">
        <v>96</v>
      </c>
      <c r="L16" s="2">
        <v>7.17</v>
      </c>
      <c r="M16" s="2">
        <v>7.2</v>
      </c>
      <c r="N16" s="1">
        <v>282.5</v>
      </c>
      <c r="O16" s="1">
        <v>288</v>
      </c>
      <c r="P16" s="3">
        <v>7.8</v>
      </c>
      <c r="Q16" s="4">
        <f>AVERAGE(45.4,43.1)</f>
        <v>44.25</v>
      </c>
      <c r="R16" s="4">
        <v>48.2</v>
      </c>
      <c r="S16" s="4">
        <v>-34.799999999999997</v>
      </c>
      <c r="T16" s="4" cm="1">
        <f t="array" ref="T16">_xlfn.IFS(L16&lt;=5,IF(ISNUMBER(X16)=TRUE,X16*1.79+Z16*1.8+Y16*5.56+50000*(10^-L16)-Q16,1.79+Z16*1.8+Y16*5.56+50000*(10^-L16)-Q16),L16&gt;5,IF(ISNUMBER(X16)=TRUE,X16*1.79+Z16*1.8+50000*(10^-L16)-Q16,Z16*1.8+50000*(10^-L16)-Q16))</f>
        <v>-43.63246958512304</v>
      </c>
      <c r="W16" s="3">
        <v>1.1100000000000001</v>
      </c>
      <c r="X16" s="3">
        <v>0.14499999999999999</v>
      </c>
      <c r="Y16" s="3">
        <v>0.74</v>
      </c>
      <c r="Z16" s="3">
        <v>0.19700000000000001</v>
      </c>
      <c r="AB16" s="3">
        <v>28.9</v>
      </c>
      <c r="AC16" s="8">
        <v>8.39</v>
      </c>
      <c r="AD16" s="8">
        <v>13.4</v>
      </c>
      <c r="AE16" s="3">
        <v>1.66</v>
      </c>
      <c r="AF16" s="3">
        <v>9.3000000000000007</v>
      </c>
      <c r="AG16" s="2" t="s">
        <v>161</v>
      </c>
      <c r="AH16" s="2" t="s">
        <v>162</v>
      </c>
      <c r="AI16" s="3" t="s">
        <v>159</v>
      </c>
      <c r="AK16" s="1">
        <f>S16*J16*0.012</f>
        <v>-14044.305599999998</v>
      </c>
      <c r="AL16" s="1">
        <f>W16*J16*0.012</f>
        <v>447.96492000000006</v>
      </c>
      <c r="AM16" s="1">
        <f>Y16*J16*0.012</f>
        <v>298.64328</v>
      </c>
      <c r="AN16" s="1">
        <f>Z16*J16*0.012</f>
        <v>79.503684000000007</v>
      </c>
      <c r="AO16" s="1">
        <f>AA16*J16*0.012</f>
        <v>0</v>
      </c>
      <c r="AQ16" s="13"/>
      <c r="AR16" s="13"/>
    </row>
    <row r="17" spans="1:44" x14ac:dyDescent="0.3">
      <c r="A17" s="5">
        <v>44903</v>
      </c>
      <c r="B17" s="12" t="s">
        <v>24</v>
      </c>
      <c r="C17" t="s">
        <v>25</v>
      </c>
      <c r="E17" t="s">
        <v>26</v>
      </c>
      <c r="F17" s="11">
        <v>40.658344</v>
      </c>
      <c r="G17" s="11">
        <v>-79.024439000000001</v>
      </c>
      <c r="H17" t="s">
        <v>90</v>
      </c>
      <c r="I17" s="2">
        <v>2</v>
      </c>
      <c r="J17" s="1">
        <v>31718</v>
      </c>
      <c r="K17" t="s">
        <v>96</v>
      </c>
      <c r="L17" s="2">
        <v>6.67</v>
      </c>
      <c r="M17" s="2">
        <v>7.2</v>
      </c>
      <c r="N17" s="1">
        <v>279.10000000000002</v>
      </c>
      <c r="O17" s="1">
        <v>288</v>
      </c>
      <c r="P17" s="3">
        <v>7.7</v>
      </c>
      <c r="Q17" s="4">
        <f>AVERAGE(44.2,47.2)</f>
        <v>45.7</v>
      </c>
      <c r="R17" s="4">
        <v>51.4</v>
      </c>
      <c r="S17" s="4">
        <v>-34.6</v>
      </c>
      <c r="T17" s="4" cm="1">
        <f t="array" ref="T17">_xlfn.IFS(L17&lt;=5,IF(ISNUMBER(X17)=TRUE,X17*1.79+Z17*1.8+Y17*5.56+50000*(10^-L17)-Q17,1.79+Z17*1.8+Y17*5.56+50000*(10^-L17)-Q17),L17&gt;5,IF(ISNUMBER(X17)=TRUE,X17*1.79+Z17*1.8+50000*(10^-L17)-Q17,Z17*1.8+50000*(10^-L17)-Q17))</f>
        <v>-45.064440189552492</v>
      </c>
      <c r="W17" s="3">
        <v>1.1299999999999999</v>
      </c>
      <c r="X17" s="3">
        <v>0.153</v>
      </c>
      <c r="Y17" s="3">
        <v>0.70299999999999996</v>
      </c>
      <c r="Z17" s="3">
        <v>0.19500000000000001</v>
      </c>
      <c r="AB17" s="3">
        <v>29.2</v>
      </c>
      <c r="AC17" s="8">
        <v>8.61</v>
      </c>
      <c r="AD17" s="8">
        <v>13.2</v>
      </c>
      <c r="AE17" s="3">
        <v>1.64</v>
      </c>
      <c r="AF17" s="3">
        <v>8.8000000000000007</v>
      </c>
      <c r="AG17" s="2" t="s">
        <v>161</v>
      </c>
      <c r="AH17" s="2" t="s">
        <v>162</v>
      </c>
      <c r="AI17" s="3" t="s">
        <v>159</v>
      </c>
      <c r="AK17" s="1">
        <f t="shared" ref="AK17:AK23" si="7">S17*J17*0.012</f>
        <v>-13169.313600000001</v>
      </c>
      <c r="AL17" s="1">
        <f t="shared" ref="AL17:AL23" si="8">W17*J17*0.012</f>
        <v>430.09607999999997</v>
      </c>
      <c r="AM17" s="1">
        <f t="shared" ref="AM17:AM23" si="9">Y17*J17*0.012</f>
        <v>267.57304799999997</v>
      </c>
      <c r="AN17" s="1">
        <f t="shared" ref="AN17:AN23" si="10">Z17*J17*0.012</f>
        <v>74.220120000000009</v>
      </c>
      <c r="AO17" s="1">
        <f t="shared" ref="AO17:AO23" si="11">AA17*J17*0.012</f>
        <v>0</v>
      </c>
      <c r="AQ17" s="13"/>
      <c r="AR17" s="13"/>
    </row>
    <row r="18" spans="1:44" x14ac:dyDescent="0.3">
      <c r="A18" s="5">
        <v>44903</v>
      </c>
      <c r="B18" s="12" t="s">
        <v>29</v>
      </c>
      <c r="C18" t="s">
        <v>30</v>
      </c>
      <c r="E18" t="s">
        <v>31</v>
      </c>
      <c r="F18" s="11">
        <v>40.669035000000001</v>
      </c>
      <c r="G18" s="11">
        <v>-79.013497999999998</v>
      </c>
      <c r="H18" t="s">
        <v>92</v>
      </c>
      <c r="I18" s="2">
        <v>2.95</v>
      </c>
      <c r="J18" s="1">
        <v>22376</v>
      </c>
      <c r="K18" t="s">
        <v>96</v>
      </c>
      <c r="L18" s="2">
        <v>7.55</v>
      </c>
      <c r="M18" s="2">
        <v>7.2</v>
      </c>
      <c r="N18" s="1">
        <v>244.9</v>
      </c>
      <c r="O18" s="1">
        <v>253</v>
      </c>
      <c r="P18" s="3">
        <v>7.9</v>
      </c>
      <c r="Q18" s="4">
        <v>48.5</v>
      </c>
      <c r="R18" s="4">
        <v>52</v>
      </c>
      <c r="S18" s="4">
        <v>-35</v>
      </c>
      <c r="T18" s="4" cm="1">
        <f t="array" ref="T18">_xlfn.IFS(L18&lt;=5,IF(ISNUMBER(X18)=TRUE,X18*1.79+Z18*1.8+Y18*5.56+50000*(10^-L18)-Q18,1.79+Z18*1.8+Y18*5.56+50000*(10^-L18)-Q18),L18&gt;5,IF(ISNUMBER(X18)=TRUE,X18*1.79+Z18*1.8+50000*(10^-L18)-Q18,Z18*1.8+50000*(10^-L18)-Q18))</f>
        <v>-47.978180808534368</v>
      </c>
      <c r="U18" s="2">
        <v>11.19</v>
      </c>
      <c r="V18" s="2">
        <v>94.5</v>
      </c>
      <c r="W18" s="3">
        <v>0.88800000000000001</v>
      </c>
      <c r="X18" s="3">
        <v>0.159</v>
      </c>
      <c r="Y18" s="3">
        <v>0.441</v>
      </c>
      <c r="Z18" s="3">
        <v>0.13100000000000001</v>
      </c>
      <c r="AB18" s="3">
        <v>23.96</v>
      </c>
      <c r="AC18" s="8">
        <v>7.18</v>
      </c>
      <c r="AD18" s="8">
        <v>14.59</v>
      </c>
      <c r="AE18" s="3">
        <v>1.73</v>
      </c>
      <c r="AF18" s="3">
        <v>8.9</v>
      </c>
      <c r="AG18" s="2" t="s">
        <v>161</v>
      </c>
      <c r="AH18" s="2" t="s">
        <v>162</v>
      </c>
      <c r="AI18" s="3" t="s">
        <v>159</v>
      </c>
      <c r="AK18" s="1">
        <f t="shared" si="7"/>
        <v>-9397.92</v>
      </c>
      <c r="AL18" s="1">
        <f t="shared" si="8"/>
        <v>238.43865599999998</v>
      </c>
      <c r="AM18" s="1">
        <f t="shared" si="9"/>
        <v>118.41379200000002</v>
      </c>
      <c r="AN18" s="1">
        <f t="shared" si="10"/>
        <v>35.175072000000007</v>
      </c>
      <c r="AO18" s="1">
        <f t="shared" si="11"/>
        <v>0</v>
      </c>
      <c r="AQ18" s="13"/>
      <c r="AR18" s="13"/>
    </row>
    <row r="19" spans="1:44" x14ac:dyDescent="0.3">
      <c r="A19" s="5">
        <v>44903</v>
      </c>
      <c r="B19" s="12" t="s">
        <v>34</v>
      </c>
      <c r="C19" t="s">
        <v>35</v>
      </c>
      <c r="E19" t="s">
        <v>36</v>
      </c>
      <c r="F19" s="11">
        <v>40.672021999999998</v>
      </c>
      <c r="G19" s="11">
        <v>-79.002600000000001</v>
      </c>
      <c r="H19" t="s">
        <v>92</v>
      </c>
      <c r="I19" s="2">
        <v>3.7</v>
      </c>
      <c r="J19" s="1">
        <v>22379</v>
      </c>
      <c r="K19" t="s">
        <v>96</v>
      </c>
      <c r="L19" s="2">
        <v>7.43</v>
      </c>
      <c r="M19" s="2">
        <v>7.2</v>
      </c>
      <c r="N19" s="1">
        <v>239.1</v>
      </c>
      <c r="O19" s="1">
        <v>244</v>
      </c>
      <c r="P19" s="3">
        <v>7.8</v>
      </c>
      <c r="Q19" s="4">
        <v>49.5</v>
      </c>
      <c r="R19" s="4">
        <v>50.8</v>
      </c>
      <c r="S19" s="4">
        <v>-36.799999999999997</v>
      </c>
      <c r="T19" s="4" cm="1">
        <f t="array" ref="T19">_xlfn.IFS(L19&lt;=5,IF(ISNUMBER(X19)=TRUE,X19*1.79+Z19*1.8+Y19*5.56+50000*(10^-L19)-Q19,1.79+Z19*1.8+Y19*5.56+50000*(10^-L19)-Q19),L19&gt;5,IF(ISNUMBER(X19)=TRUE,X19*1.79+Z19*1.8+50000*(10^-L19)-Q19,Z19*1.8+50000*(10^-L19)-Q19))</f>
        <v>-48.800642323854511</v>
      </c>
      <c r="U19" s="2">
        <v>11.19</v>
      </c>
      <c r="V19" s="2">
        <v>93.9</v>
      </c>
      <c r="W19" s="3">
        <v>0.95099999999999996</v>
      </c>
      <c r="X19" s="3">
        <v>0.27</v>
      </c>
      <c r="Y19" s="3">
        <v>0.40100000000000002</v>
      </c>
      <c r="Z19" s="3">
        <v>0.11899999999999999</v>
      </c>
      <c r="AB19" s="3">
        <v>22.75</v>
      </c>
      <c r="AC19" s="8">
        <v>6.72</v>
      </c>
      <c r="AD19" s="8">
        <v>14.59</v>
      </c>
      <c r="AE19" s="3">
        <v>1.68</v>
      </c>
      <c r="AF19" s="3">
        <v>8.4</v>
      </c>
      <c r="AG19" s="2" t="s">
        <v>161</v>
      </c>
      <c r="AH19" s="2" t="s">
        <v>162</v>
      </c>
      <c r="AI19" s="3" t="s">
        <v>159</v>
      </c>
      <c r="AK19" s="1">
        <f t="shared" si="7"/>
        <v>-9882.5663999999997</v>
      </c>
      <c r="AL19" s="1">
        <f t="shared" si="8"/>
        <v>255.38914800000001</v>
      </c>
      <c r="AM19" s="1">
        <f t="shared" si="9"/>
        <v>107.68774800000001</v>
      </c>
      <c r="AN19" s="1">
        <f t="shared" si="10"/>
        <v>31.957211999999995</v>
      </c>
      <c r="AO19" s="1">
        <f t="shared" si="11"/>
        <v>0</v>
      </c>
      <c r="AQ19" s="13"/>
      <c r="AR19" s="13"/>
    </row>
    <row r="20" spans="1:44" x14ac:dyDescent="0.3">
      <c r="A20" s="5">
        <v>44903</v>
      </c>
      <c r="B20" s="12" t="s">
        <v>40</v>
      </c>
      <c r="C20" t="s">
        <v>41</v>
      </c>
      <c r="E20" t="s">
        <v>42</v>
      </c>
      <c r="F20" s="11">
        <v>40.657780000000002</v>
      </c>
      <c r="G20" s="11">
        <v>-78.975070000000002</v>
      </c>
      <c r="H20" t="s">
        <v>93</v>
      </c>
      <c r="I20" s="2">
        <v>5.95</v>
      </c>
      <c r="J20" s="1">
        <v>20371</v>
      </c>
      <c r="K20" t="s">
        <v>96</v>
      </c>
      <c r="L20" s="2">
        <v>7.21</v>
      </c>
      <c r="M20" s="2">
        <v>7.3</v>
      </c>
      <c r="N20" s="1">
        <v>222.8</v>
      </c>
      <c r="O20" s="1">
        <v>229</v>
      </c>
      <c r="P20" s="3">
        <v>7.8</v>
      </c>
      <c r="Q20" s="4">
        <v>56</v>
      </c>
      <c r="R20" s="4">
        <v>55</v>
      </c>
      <c r="S20" s="4">
        <v>-44.2</v>
      </c>
      <c r="T20" s="4" cm="1">
        <f t="array" ref="T20">_xlfn.IFS(L20&lt;=5,IF(ISNUMBER(X20)=TRUE,X20*1.79+Z20*1.8+Y20*5.56+50000*(10^-L20)-Q20,1.79+Z20*1.8+Y20*5.56+50000*(10^-L20)-Q20),L20&gt;5,IF(ISNUMBER(X20)=TRUE,X20*1.79+Z20*1.8+50000*(10^-L20)-Q20,Z20*1.8+50000*(10^-L20)-Q20))</f>
        <v>-55.657887024990693</v>
      </c>
      <c r="U20" s="2">
        <v>11.23</v>
      </c>
      <c r="V20" s="2">
        <v>94.2</v>
      </c>
      <c r="W20" s="3">
        <v>0.44700000000000001</v>
      </c>
      <c r="X20" s="3">
        <v>0.11700000000000001</v>
      </c>
      <c r="Y20" s="3">
        <v>0.3</v>
      </c>
      <c r="Z20" s="3">
        <v>7.1999999999999995E-2</v>
      </c>
      <c r="AB20" s="3">
        <v>20.6</v>
      </c>
      <c r="AC20" s="8">
        <v>6</v>
      </c>
      <c r="AD20" s="8">
        <v>14.4</v>
      </c>
      <c r="AE20" s="3">
        <v>1.53</v>
      </c>
      <c r="AF20" s="3">
        <v>8.6</v>
      </c>
      <c r="AG20" s="2" t="s">
        <v>161</v>
      </c>
      <c r="AH20" s="2" t="s">
        <v>162</v>
      </c>
      <c r="AI20" s="3" t="s">
        <v>159</v>
      </c>
      <c r="AK20" s="1">
        <f t="shared" si="7"/>
        <v>-10804.778400000001</v>
      </c>
      <c r="AL20" s="1">
        <f t="shared" si="8"/>
        <v>109.270044</v>
      </c>
      <c r="AM20" s="1">
        <f t="shared" si="9"/>
        <v>73.335599999999999</v>
      </c>
      <c r="AN20" s="1">
        <f t="shared" si="10"/>
        <v>17.600543999999999</v>
      </c>
      <c r="AO20" s="1">
        <f t="shared" si="11"/>
        <v>0</v>
      </c>
      <c r="AQ20" s="13"/>
      <c r="AR20" s="13"/>
    </row>
    <row r="21" spans="1:44" x14ac:dyDescent="0.3">
      <c r="A21" s="5">
        <v>44903</v>
      </c>
      <c r="B21" s="12" t="s">
        <v>43</v>
      </c>
      <c r="C21" t="s">
        <v>44</v>
      </c>
      <c r="E21" t="s">
        <v>45</v>
      </c>
      <c r="F21" s="11">
        <v>40.66272</v>
      </c>
      <c r="G21" s="11">
        <v>-78.968819999999994</v>
      </c>
      <c r="H21" t="s">
        <v>93</v>
      </c>
      <c r="I21" s="2">
        <v>6.9</v>
      </c>
      <c r="J21" s="1">
        <v>18211</v>
      </c>
      <c r="K21" t="s">
        <v>96</v>
      </c>
      <c r="L21" s="2">
        <v>7.6</v>
      </c>
      <c r="M21" s="2">
        <v>7.4</v>
      </c>
      <c r="N21" s="1">
        <v>237</v>
      </c>
      <c r="O21" s="1">
        <v>230</v>
      </c>
      <c r="P21" s="3">
        <v>7.7</v>
      </c>
      <c r="Q21" s="4">
        <v>61.5</v>
      </c>
      <c r="R21" s="4">
        <v>59.8</v>
      </c>
      <c r="S21" s="4">
        <v>-45.6</v>
      </c>
      <c r="T21" s="4" cm="1">
        <f t="array" ref="T21">_xlfn.IFS(L21&lt;=5,IF(ISNUMBER(X21)=TRUE,X21*1.79+Z21*1.8+Y21*5.56+50000*(10^-L21)-Q21,1.79+Z21*1.8+Y21*5.56+50000*(10^-L21)-Q21),L21&gt;5,IF(ISNUMBER(X21)=TRUE,X21*1.79+Z21*1.8+50000*(10^-L21)-Q21,Z21*1.8+50000*(10^-L21)-Q21))</f>
        <v>-61.276144056784247</v>
      </c>
      <c r="U21" s="2">
        <v>11.37</v>
      </c>
      <c r="V21" s="2">
        <v>95.3</v>
      </c>
      <c r="W21" s="3">
        <v>0.23</v>
      </c>
      <c r="X21" s="3">
        <v>0.06</v>
      </c>
      <c r="Y21" s="3">
        <v>0.3</v>
      </c>
      <c r="Z21" s="3">
        <v>6.4000000000000001E-2</v>
      </c>
      <c r="AB21" s="3">
        <v>20.8</v>
      </c>
      <c r="AC21" s="8">
        <v>5.98</v>
      </c>
      <c r="AD21" s="8">
        <v>15.3</v>
      </c>
      <c r="AE21" s="3">
        <v>1.54</v>
      </c>
      <c r="AF21" s="3">
        <v>8.6</v>
      </c>
      <c r="AG21" s="2" t="s">
        <v>161</v>
      </c>
      <c r="AH21" s="2" t="s">
        <v>162</v>
      </c>
      <c r="AI21" s="3" t="s">
        <v>159</v>
      </c>
      <c r="AK21" s="1">
        <f t="shared" si="7"/>
        <v>-9965.0591999999997</v>
      </c>
      <c r="AL21" s="1">
        <f t="shared" si="8"/>
        <v>50.262360000000001</v>
      </c>
      <c r="AM21" s="1">
        <f t="shared" si="9"/>
        <v>65.559600000000003</v>
      </c>
      <c r="AN21" s="1">
        <f t="shared" si="10"/>
        <v>13.986048000000002</v>
      </c>
      <c r="AO21" s="1">
        <f t="shared" si="11"/>
        <v>0</v>
      </c>
      <c r="AQ21" s="13"/>
      <c r="AR21" s="13"/>
    </row>
    <row r="22" spans="1:44" x14ac:dyDescent="0.3">
      <c r="A22" s="5">
        <v>44903</v>
      </c>
      <c r="B22" s="12" t="s">
        <v>48</v>
      </c>
      <c r="C22" t="s">
        <v>49</v>
      </c>
      <c r="E22" t="s">
        <v>602</v>
      </c>
      <c r="F22" s="11">
        <v>40.67557</v>
      </c>
      <c r="G22" s="11">
        <v>-78.963009999999997</v>
      </c>
      <c r="H22" t="s">
        <v>93</v>
      </c>
      <c r="I22" s="2">
        <v>8.39</v>
      </c>
      <c r="J22" s="1">
        <v>6659</v>
      </c>
      <c r="K22" t="s">
        <v>96</v>
      </c>
      <c r="L22" s="2">
        <v>7.5</v>
      </c>
      <c r="M22" s="2">
        <v>7.3</v>
      </c>
      <c r="N22" s="1">
        <v>294</v>
      </c>
      <c r="O22" s="1">
        <v>291</v>
      </c>
      <c r="P22" s="3">
        <v>5</v>
      </c>
      <c r="Q22" s="4">
        <v>52</v>
      </c>
      <c r="R22" s="4">
        <v>48.2</v>
      </c>
      <c r="S22" s="4">
        <v>-33.4</v>
      </c>
      <c r="T22" s="4" cm="1">
        <f t="array" ref="T22">_xlfn.IFS(L22&lt;=5,IF(ISNUMBER(X22)=TRUE,X22*1.79+Z22*1.8+Y22*5.56+50000*(10^-L22)-Q22,1.79+Z22*1.8+Y22*5.56+50000*(10^-L22)-Q22),L22&gt;5,IF(ISNUMBER(X22)=TRUE,X22*1.79+Z22*1.8+50000*(10^-L22)-Q22,Z22*1.8+50000*(10^-L22)-Q22))</f>
        <v>-51.637208861169917</v>
      </c>
      <c r="U22" s="2">
        <v>11.25</v>
      </c>
      <c r="V22" s="2">
        <v>95.1</v>
      </c>
      <c r="W22" s="3">
        <v>0.35</v>
      </c>
      <c r="X22" s="3">
        <v>5.8999999999999997E-2</v>
      </c>
      <c r="Y22" s="3">
        <v>0.3</v>
      </c>
      <c r="Z22" s="3">
        <v>0.14199999999999999</v>
      </c>
      <c r="AB22" s="3">
        <v>33.1</v>
      </c>
      <c r="AC22" s="8">
        <v>9.2799999999999994</v>
      </c>
      <c r="AD22" s="8">
        <v>8.6300000000000008</v>
      </c>
      <c r="AE22" s="3">
        <v>1.74</v>
      </c>
      <c r="AF22" s="3">
        <v>9.6</v>
      </c>
      <c r="AG22" s="2" t="s">
        <v>161</v>
      </c>
      <c r="AH22" s="2" t="s">
        <v>162</v>
      </c>
      <c r="AI22" s="3" t="s">
        <v>159</v>
      </c>
      <c r="AK22" s="1">
        <f t="shared" si="7"/>
        <v>-2668.9271999999996</v>
      </c>
      <c r="AL22" s="1">
        <f t="shared" si="8"/>
        <v>27.967799999999997</v>
      </c>
      <c r="AM22" s="1">
        <f t="shared" si="9"/>
        <v>23.972399999999997</v>
      </c>
      <c r="AN22" s="1">
        <f t="shared" si="10"/>
        <v>11.346935999999998</v>
      </c>
      <c r="AO22" s="1">
        <f t="shared" si="11"/>
        <v>0</v>
      </c>
      <c r="AQ22" s="13"/>
      <c r="AR22" s="13"/>
    </row>
    <row r="23" spans="1:44" x14ac:dyDescent="0.3">
      <c r="A23" s="5">
        <v>44903</v>
      </c>
      <c r="B23" s="12" t="s">
        <v>50</v>
      </c>
      <c r="C23" t="s">
        <v>51</v>
      </c>
      <c r="E23" t="s">
        <v>112</v>
      </c>
      <c r="F23" s="11">
        <v>40.69773</v>
      </c>
      <c r="G23" s="11">
        <v>-78.958299999999994</v>
      </c>
      <c r="H23" t="s">
        <v>93</v>
      </c>
      <c r="I23" s="2">
        <v>10.16</v>
      </c>
      <c r="J23" s="1">
        <v>6398</v>
      </c>
      <c r="K23" t="s">
        <v>96</v>
      </c>
      <c r="L23" s="2">
        <v>7.53</v>
      </c>
      <c r="M23" s="2">
        <v>7.2</v>
      </c>
      <c r="N23" s="1">
        <v>275</v>
      </c>
      <c r="O23" s="1">
        <v>275</v>
      </c>
      <c r="P23" s="3">
        <v>8</v>
      </c>
      <c r="Q23" s="4">
        <v>42</v>
      </c>
      <c r="R23" s="4">
        <v>47.2</v>
      </c>
      <c r="S23" s="4">
        <v>-35.799999999999997</v>
      </c>
      <c r="T23" s="4" cm="1">
        <f t="array" ref="T23">_xlfn.IFS(L23&lt;=5,IF(ISNUMBER(X23)=TRUE,X23*1.79+Z23*1.8+Y23*5.56+50000*(10^-L23)-Q23,1.79+Z23*1.8+Y23*5.56+50000*(10^-L23)-Q23),L23&gt;5,IF(ISNUMBER(X23)=TRUE,X23*1.79+Z23*1.8+50000*(10^-L23)-Q23,Z23*1.8+50000*(10^-L23)-Q23))</f>
        <v>-41.998524395386667</v>
      </c>
      <c r="U23" s="2">
        <v>11.31</v>
      </c>
      <c r="V23" s="2">
        <v>96</v>
      </c>
      <c r="W23" s="3">
        <v>0.19400000000000001</v>
      </c>
      <c r="X23" s="3" t="s">
        <v>160</v>
      </c>
      <c r="Y23" s="3">
        <v>0.3</v>
      </c>
      <c r="AB23" s="3">
        <v>31.6</v>
      </c>
      <c r="AC23" s="8">
        <v>8.4700000000000006</v>
      </c>
      <c r="AD23" s="8">
        <v>8.07</v>
      </c>
      <c r="AE23" s="3">
        <v>1.66</v>
      </c>
      <c r="AF23" s="3">
        <v>9.4</v>
      </c>
      <c r="AG23" s="2" t="s">
        <v>161</v>
      </c>
      <c r="AH23" s="2" t="s">
        <v>162</v>
      </c>
      <c r="AI23" s="3" t="s">
        <v>159</v>
      </c>
      <c r="AK23" s="1">
        <f t="shared" si="7"/>
        <v>-2748.5808000000002</v>
      </c>
      <c r="AL23" s="1">
        <f t="shared" si="8"/>
        <v>14.894544</v>
      </c>
      <c r="AM23" s="1">
        <f t="shared" si="9"/>
        <v>23.032799999999998</v>
      </c>
      <c r="AN23" s="1">
        <f t="shared" si="10"/>
        <v>0</v>
      </c>
      <c r="AO23" s="1">
        <f t="shared" si="11"/>
        <v>0</v>
      </c>
      <c r="AQ23" s="13"/>
      <c r="AR23" s="13"/>
    </row>
    <row r="24" spans="1:44" x14ac:dyDescent="0.3">
      <c r="F24" s="11"/>
      <c r="G24" s="11"/>
      <c r="AC24" s="8"/>
      <c r="AD24" s="8"/>
      <c r="AQ24" s="13"/>
      <c r="AR24" s="13"/>
    </row>
    <row r="25" spans="1:44" x14ac:dyDescent="0.3">
      <c r="A25" s="5">
        <v>44964</v>
      </c>
      <c r="B25" s="12" t="s">
        <v>20</v>
      </c>
      <c r="C25" t="s">
        <v>146</v>
      </c>
      <c r="D25">
        <v>60149</v>
      </c>
      <c r="E25" t="s">
        <v>21</v>
      </c>
      <c r="F25" s="11">
        <v>40.645299999999999</v>
      </c>
      <c r="G25" s="11">
        <v>-79.036760000000001</v>
      </c>
      <c r="H25" t="s">
        <v>218</v>
      </c>
      <c r="I25" s="2">
        <v>0.7</v>
      </c>
      <c r="J25" s="1" t="s">
        <v>219</v>
      </c>
      <c r="L25" s="2">
        <v>7.46</v>
      </c>
      <c r="M25" s="2">
        <v>6.9</v>
      </c>
      <c r="N25" s="1">
        <v>342</v>
      </c>
      <c r="O25" s="1">
        <v>330</v>
      </c>
      <c r="R25" s="4">
        <v>46.6</v>
      </c>
      <c r="S25" s="4">
        <v>-33.799999999999997</v>
      </c>
      <c r="T25" s="4" cm="1">
        <f t="array" ref="T25">_xlfn.IFS(L25&lt;=5,IF(ISNUMBER(X25)=TRUE,X25*1.79+Z25*1.8+Y25*5.56+50000*(10^-L25)-R25,1.79+Z25*1.8+Y25*5.56+50000*(10^-L25)-R25),L25&gt;5,IF(ISNUMBER(X25)=TRUE,X25*1.79+Z25*1.8+50000*(10^-L25)-R25,Z25*1.8+50000*(10^-L25)-R25))</f>
        <v>-45.612846315747738</v>
      </c>
      <c r="W25" s="3">
        <v>1.377</v>
      </c>
      <c r="X25" s="3">
        <v>0.27800000000000002</v>
      </c>
      <c r="Y25" s="3">
        <v>0.91800000000000004</v>
      </c>
      <c r="Z25" s="3">
        <v>0.27100000000000002</v>
      </c>
      <c r="AA25" s="4">
        <v>98.18</v>
      </c>
      <c r="AB25" s="3">
        <v>32.86</v>
      </c>
      <c r="AC25" s="8">
        <v>10.15</v>
      </c>
      <c r="AD25" s="8">
        <v>15.87</v>
      </c>
      <c r="AE25" s="3">
        <v>1.69</v>
      </c>
      <c r="AF25" s="3">
        <v>9.8000000000000007</v>
      </c>
      <c r="AG25" s="2" t="s">
        <v>161</v>
      </c>
      <c r="AH25" s="2" t="s">
        <v>162</v>
      </c>
      <c r="AI25" s="3" t="s">
        <v>159</v>
      </c>
      <c r="AQ25" s="13"/>
      <c r="AR25" s="13"/>
    </row>
    <row r="26" spans="1:44" x14ac:dyDescent="0.3">
      <c r="A26" s="5">
        <v>44964</v>
      </c>
      <c r="B26" s="12" t="s">
        <v>24</v>
      </c>
      <c r="C26" t="s">
        <v>25</v>
      </c>
      <c r="E26" t="s">
        <v>26</v>
      </c>
      <c r="F26" s="11">
        <v>40.658344</v>
      </c>
      <c r="G26" s="11">
        <v>-79.024439000000001</v>
      </c>
      <c r="H26" t="s">
        <v>241</v>
      </c>
      <c r="I26" s="2">
        <v>2</v>
      </c>
      <c r="J26" s="1" t="s">
        <v>219</v>
      </c>
      <c r="L26" s="2">
        <v>7.13</v>
      </c>
      <c r="M26" s="2">
        <v>6.7</v>
      </c>
      <c r="N26" s="1">
        <v>306</v>
      </c>
      <c r="O26" s="1">
        <v>338</v>
      </c>
      <c r="Q26" s="4">
        <v>48</v>
      </c>
      <c r="R26" s="4">
        <v>45</v>
      </c>
      <c r="S26" s="4">
        <v>-39.799999999999997</v>
      </c>
      <c r="T26" s="4" cm="1">
        <f t="array" ref="T26">_xlfn.IFS(L26&lt;=5,IF(ISNUMBER(X26)=TRUE,X26*1.79+Z26*1.8+Y26*5.56+50000*(10^-L26)-Q26,1.79+Z26*1.8+Y26*5.56+50000*(10^-L26)-Q26),L26&gt;5,IF(ISNUMBER(X26)=TRUE,X26*1.79+Z26*1.8+50000*(10^-L26)-Q26,Z26*1.8+50000*(10^-L26)-Q26))</f>
        <v>-47.168463448793496</v>
      </c>
      <c r="W26" s="3">
        <v>1.556</v>
      </c>
      <c r="X26" s="3">
        <v>0.19700000000000001</v>
      </c>
      <c r="Y26" s="3">
        <v>1.0529999999999999</v>
      </c>
      <c r="Z26" s="3">
        <v>0.26400000000000001</v>
      </c>
      <c r="AA26" s="4">
        <v>98.48</v>
      </c>
      <c r="AB26" s="3">
        <v>33.03</v>
      </c>
      <c r="AC26" s="8">
        <v>10.45</v>
      </c>
      <c r="AD26" s="8">
        <v>15.81</v>
      </c>
      <c r="AE26" s="3">
        <v>1.61</v>
      </c>
      <c r="AF26" s="3">
        <v>9.9</v>
      </c>
      <c r="AG26" s="2" t="s">
        <v>161</v>
      </c>
      <c r="AH26" s="2" t="s">
        <v>162</v>
      </c>
      <c r="AI26" s="3" t="s">
        <v>159</v>
      </c>
      <c r="AQ26" s="13"/>
      <c r="AR26" s="13"/>
    </row>
    <row r="27" spans="1:44" x14ac:dyDescent="0.3">
      <c r="A27" s="5">
        <v>44964</v>
      </c>
      <c r="B27" s="12" t="s">
        <v>29</v>
      </c>
      <c r="C27" t="s">
        <v>30</v>
      </c>
      <c r="E27" t="s">
        <v>31</v>
      </c>
      <c r="F27" s="11"/>
      <c r="G27" s="11"/>
      <c r="H27" t="s">
        <v>241</v>
      </c>
      <c r="I27" s="2">
        <v>2.95</v>
      </c>
      <c r="J27" s="1" t="s">
        <v>102</v>
      </c>
      <c r="L27" s="2">
        <v>7.55</v>
      </c>
      <c r="M27" s="2">
        <v>6.8</v>
      </c>
      <c r="N27" s="1">
        <v>259</v>
      </c>
      <c r="O27" s="1">
        <v>297</v>
      </c>
      <c r="Q27" s="4">
        <v>46</v>
      </c>
      <c r="R27" s="4">
        <v>48.8</v>
      </c>
      <c r="S27" s="4">
        <v>-42.8</v>
      </c>
      <c r="T27" s="4" cm="1">
        <f t="array" ref="T27">_xlfn.IFS(L27&lt;=5,IF(ISNUMBER(X27)=TRUE,X27*1.79+Z27*1.8+Y27*5.56+50000*(10^-L27)-Q27,1.79+Z27*1.8+Y27*5.56+50000*(10^-L27)-Q27),L27&gt;5,IF(ISNUMBER(X27)=TRUE,X27*1.79+Z27*1.8+50000*(10^-L27)-Q27,Z27*1.8+50000*(10^-L27)-Q27))</f>
        <v>-45.380980808534368</v>
      </c>
      <c r="W27" s="3">
        <v>1.0649999999999999</v>
      </c>
      <c r="X27" s="3">
        <v>0.159</v>
      </c>
      <c r="Y27" s="3">
        <v>0.71</v>
      </c>
      <c r="Z27" s="3">
        <v>0.185</v>
      </c>
      <c r="AA27" s="4">
        <v>73.73</v>
      </c>
      <c r="AB27" s="3">
        <v>27.69</v>
      </c>
      <c r="AC27" s="8">
        <v>8.36</v>
      </c>
      <c r="AD27" s="8">
        <v>17.829999999999998</v>
      </c>
      <c r="AE27" s="3">
        <v>1.46</v>
      </c>
      <c r="AF27" s="3">
        <v>9.9</v>
      </c>
      <c r="AG27" s="2" t="s">
        <v>161</v>
      </c>
      <c r="AH27" s="2" t="s">
        <v>162</v>
      </c>
      <c r="AI27" s="3" t="s">
        <v>159</v>
      </c>
      <c r="AQ27" s="13"/>
      <c r="AR27" s="13"/>
    </row>
    <row r="28" spans="1:44" x14ac:dyDescent="0.3">
      <c r="A28" s="5">
        <v>44964</v>
      </c>
      <c r="B28" s="12" t="s">
        <v>34</v>
      </c>
      <c r="C28" t="s">
        <v>242</v>
      </c>
      <c r="E28" t="s">
        <v>36</v>
      </c>
      <c r="F28" s="11">
        <v>40.672021999999998</v>
      </c>
      <c r="G28" s="11">
        <v>-79.002600000000001</v>
      </c>
      <c r="H28" t="s">
        <v>241</v>
      </c>
      <c r="I28" s="2">
        <v>3.7</v>
      </c>
      <c r="J28" s="1" t="s">
        <v>219</v>
      </c>
      <c r="L28" s="2">
        <v>7</v>
      </c>
      <c r="M28" s="2">
        <v>6.8</v>
      </c>
      <c r="N28" s="1">
        <v>316</v>
      </c>
      <c r="O28" s="1">
        <v>294</v>
      </c>
      <c r="Q28" s="4">
        <v>54</v>
      </c>
      <c r="R28" s="4">
        <v>51.4</v>
      </c>
      <c r="S28" s="4">
        <v>-42.8</v>
      </c>
      <c r="T28" s="4" cm="1">
        <f t="array" ref="T28">_xlfn.IFS(L28&lt;=5,IF(ISNUMBER(X28)=TRUE,X28*1.79+Z28*1.8+Y28*5.56+50000*(10^-L28)-Q28,1.79+Z28*1.8+Y28*5.56+50000*(10^-L28)-Q28),L28&gt;5,IF(ISNUMBER(X28)=TRUE,X28*1.79+Z28*1.8+50000*(10^-L28)-Q28,Z28*1.8+50000*(10^-L28)-Q28))</f>
        <v>-53.193060000000003</v>
      </c>
      <c r="W28" s="3">
        <v>1.1479999999999999</v>
      </c>
      <c r="X28" s="3">
        <v>0.26600000000000001</v>
      </c>
      <c r="Y28" s="3">
        <v>0.67100000000000004</v>
      </c>
      <c r="Z28" s="3">
        <v>0.18099999999999999</v>
      </c>
      <c r="AA28" s="4">
        <v>71.36</v>
      </c>
      <c r="AB28" s="3">
        <v>26.9</v>
      </c>
      <c r="AC28" s="8">
        <v>8.0299999999999994</v>
      </c>
      <c r="AD28" s="8">
        <v>18.36</v>
      </c>
      <c r="AE28" s="3">
        <v>1.45</v>
      </c>
      <c r="AF28" s="3">
        <v>9.3000000000000007</v>
      </c>
      <c r="AG28" s="2" t="s">
        <v>161</v>
      </c>
      <c r="AH28" s="2" t="s">
        <v>162</v>
      </c>
      <c r="AI28" s="3" t="s">
        <v>159</v>
      </c>
      <c r="AQ28" s="13"/>
      <c r="AR28" s="13"/>
    </row>
    <row r="29" spans="1:44" x14ac:dyDescent="0.3">
      <c r="A29" s="5">
        <v>44964</v>
      </c>
      <c r="B29" s="12" t="s">
        <v>40</v>
      </c>
      <c r="C29" t="s">
        <v>41</v>
      </c>
      <c r="E29" t="s">
        <v>42</v>
      </c>
      <c r="F29" s="11">
        <v>40.657780000000002</v>
      </c>
      <c r="G29" s="11">
        <v>-78.975070000000002</v>
      </c>
      <c r="H29" t="s">
        <v>241</v>
      </c>
      <c r="I29" s="2">
        <v>5.95</v>
      </c>
      <c r="J29" s="1" t="s">
        <v>219</v>
      </c>
      <c r="L29" s="2">
        <v>7.43</v>
      </c>
      <c r="M29" s="2">
        <v>6.8</v>
      </c>
      <c r="N29" s="1">
        <v>300</v>
      </c>
      <c r="O29" s="1">
        <v>258</v>
      </c>
      <c r="Q29" s="4">
        <v>81</v>
      </c>
      <c r="R29" s="4">
        <v>53.2</v>
      </c>
      <c r="S29" s="4">
        <v>-43.4</v>
      </c>
      <c r="T29" s="4" cm="1">
        <f t="array" ref="T29">_xlfn.IFS(L29&lt;=5,IF(ISNUMBER(X29)=TRUE,X29*1.79+Z29*1.8+Y29*5.56+50000*(10^-L29)-R29,1.79+Z29*1.8+Y29*5.56+50000*(10^-L29)-R29),L29&gt;5,IF(ISNUMBER(X29)=TRUE,X29*1.79+Z29*1.8+50000*(10^-L29)-R29,Z29*1.8+50000*(10^-L29)-R29))</f>
        <v>-52.926842323854515</v>
      </c>
      <c r="W29" s="3">
        <v>0.498</v>
      </c>
      <c r="X29" s="3">
        <v>0.05</v>
      </c>
      <c r="Y29" s="3">
        <v>0.45600000000000002</v>
      </c>
      <c r="Z29" s="3">
        <v>0.10100000000000001</v>
      </c>
      <c r="AA29" s="4">
        <v>53.75</v>
      </c>
      <c r="AB29" s="3">
        <v>21.78</v>
      </c>
      <c r="AC29" s="8">
        <v>6.77</v>
      </c>
      <c r="AD29" s="8">
        <v>16.920000000000002</v>
      </c>
      <c r="AE29" s="3">
        <v>1.37</v>
      </c>
      <c r="AF29" s="3">
        <v>9</v>
      </c>
      <c r="AG29" s="2" t="s">
        <v>161</v>
      </c>
      <c r="AH29" s="2" t="s">
        <v>162</v>
      </c>
      <c r="AI29" s="3" t="s">
        <v>159</v>
      </c>
      <c r="AQ29" s="13"/>
      <c r="AR29" s="13"/>
    </row>
    <row r="30" spans="1:44" x14ac:dyDescent="0.3">
      <c r="A30" s="5">
        <v>44964</v>
      </c>
      <c r="B30" s="12" t="s">
        <v>43</v>
      </c>
      <c r="C30" t="s">
        <v>44</v>
      </c>
      <c r="E30" t="s">
        <v>45</v>
      </c>
      <c r="F30" s="11">
        <v>40.66272</v>
      </c>
      <c r="G30" s="11">
        <v>-78.968819999999994</v>
      </c>
      <c r="H30" t="s">
        <v>241</v>
      </c>
      <c r="I30" s="2">
        <v>6.9</v>
      </c>
      <c r="J30" s="1" t="s">
        <v>219</v>
      </c>
      <c r="L30" s="2">
        <v>7.42</v>
      </c>
      <c r="M30" s="2">
        <v>7</v>
      </c>
      <c r="N30" s="1">
        <v>306</v>
      </c>
      <c r="O30" s="1">
        <v>273</v>
      </c>
      <c r="Q30" s="4">
        <v>57</v>
      </c>
      <c r="R30" s="4">
        <v>65.400000000000006</v>
      </c>
      <c r="S30" s="4">
        <v>-57</v>
      </c>
      <c r="T30" s="4" cm="1">
        <f t="array" ref="T30">_xlfn.IFS(L30&lt;=5,IF(ISNUMBER(X30)=TRUE,X30*1.79+Z30*1.8+Y30*5.56+50000*(10^-L30)-Q30,1.79+Z30*1.8+Y30*5.56+50000*(10^-L30)-Q30),L30&gt;5,IF(ISNUMBER(X30)=TRUE,X30*1.79+Z30*1.8+50000*(10^-L30)-Q30,Z30*1.8+50000*(10^-L30)-Q30))</f>
        <v>-56.748399053018396</v>
      </c>
      <c r="W30" s="3">
        <v>0.191</v>
      </c>
      <c r="X30" s="3">
        <v>0.05</v>
      </c>
      <c r="Y30" s="3">
        <v>0.3</v>
      </c>
      <c r="Z30" s="3">
        <v>8.8999999999999996E-2</v>
      </c>
      <c r="AA30" s="4">
        <v>50.85</v>
      </c>
      <c r="AB30" s="3">
        <v>23.67</v>
      </c>
      <c r="AC30" s="8">
        <v>7.17</v>
      </c>
      <c r="AD30" s="8">
        <v>19.95</v>
      </c>
      <c r="AE30" s="3">
        <v>1.34</v>
      </c>
      <c r="AF30" s="3">
        <v>9.4</v>
      </c>
      <c r="AG30" s="2" t="s">
        <v>161</v>
      </c>
      <c r="AH30" s="2" t="s">
        <v>162</v>
      </c>
      <c r="AI30" s="3" t="s">
        <v>159</v>
      </c>
      <c r="AQ30" s="13"/>
      <c r="AR30" s="13"/>
    </row>
    <row r="31" spans="1:44" x14ac:dyDescent="0.3">
      <c r="A31" s="5">
        <v>44964</v>
      </c>
      <c r="B31" s="12" t="s">
        <v>48</v>
      </c>
      <c r="C31" t="s">
        <v>49</v>
      </c>
      <c r="E31" t="s">
        <v>602</v>
      </c>
      <c r="F31" s="11">
        <v>40.67557</v>
      </c>
      <c r="G31" s="11">
        <v>-78.963009999999997</v>
      </c>
      <c r="H31" t="s">
        <v>241</v>
      </c>
      <c r="I31" s="2">
        <v>8.39</v>
      </c>
      <c r="J31" s="1" t="s">
        <v>219</v>
      </c>
      <c r="L31" s="2">
        <v>7.29</v>
      </c>
      <c r="M31" s="2">
        <v>7.2</v>
      </c>
      <c r="N31" s="1">
        <v>317</v>
      </c>
      <c r="O31" s="1">
        <v>234</v>
      </c>
      <c r="Q31" s="4">
        <v>80</v>
      </c>
      <c r="R31" s="4">
        <v>80</v>
      </c>
      <c r="S31" s="4">
        <v>-72.8</v>
      </c>
      <c r="T31" s="4" cm="1">
        <f t="array" ref="T31">_xlfn.IFS(L31&lt;=5,IF(ISNUMBER(X44)=TRUE,X44*1.79+Z44*1.8+Y44*5.56+50000*(10^-L31)-Q31,1.79+Z44*1.8+Y44*5.56+50000*(10^-L31)-Q31),L31&gt;5,IF(ISNUMBER(X44)=TRUE,X44*1.79+Z44*1.8+50000*(10^-L31)-Q31,Z44*1.8+50000*(10^-L31)-Q31))</f>
        <v>-79.495745693080039</v>
      </c>
      <c r="W31" s="3">
        <v>0.317</v>
      </c>
      <c r="X31" s="3">
        <v>0.05</v>
      </c>
      <c r="Y31" s="3">
        <v>0.3</v>
      </c>
      <c r="Z31" s="3">
        <v>0.19800000000000001</v>
      </c>
      <c r="AA31" s="4">
        <v>101.61</v>
      </c>
      <c r="AB31" s="3">
        <v>38.83</v>
      </c>
      <c r="AC31" s="8">
        <v>11.65</v>
      </c>
      <c r="AD31" s="8">
        <v>9.19</v>
      </c>
      <c r="AE31" s="3">
        <v>1.68</v>
      </c>
      <c r="AF31" s="3">
        <v>9.6999999999999993</v>
      </c>
      <c r="AG31" s="2" t="s">
        <v>161</v>
      </c>
      <c r="AH31" s="2" t="s">
        <v>162</v>
      </c>
      <c r="AI31" s="3" t="s">
        <v>159</v>
      </c>
      <c r="AQ31" s="13"/>
      <c r="AR31" s="13"/>
    </row>
    <row r="32" spans="1:44" x14ac:dyDescent="0.3">
      <c r="A32" s="5">
        <v>44964</v>
      </c>
      <c r="B32" s="12" t="s">
        <v>50</v>
      </c>
      <c r="C32" t="s">
        <v>51</v>
      </c>
      <c r="E32" t="s">
        <v>112</v>
      </c>
      <c r="F32" s="11">
        <v>40.69773</v>
      </c>
      <c r="G32" s="11">
        <v>-78.958299999999994</v>
      </c>
      <c r="H32" t="s">
        <v>241</v>
      </c>
      <c r="I32" s="2">
        <v>10.16</v>
      </c>
      <c r="J32" s="1" t="s">
        <v>219</v>
      </c>
      <c r="L32" s="2">
        <v>7.03</v>
      </c>
      <c r="M32" s="2">
        <v>6.9</v>
      </c>
      <c r="N32" s="1">
        <v>446</v>
      </c>
      <c r="O32" s="1">
        <v>332</v>
      </c>
      <c r="Q32" s="4">
        <v>43</v>
      </c>
      <c r="R32" s="4">
        <v>49.4</v>
      </c>
      <c r="S32" s="4">
        <v>-37.4</v>
      </c>
      <c r="T32" s="4" cm="1">
        <f t="array" ref="T32">_xlfn.IFS(L32&lt;=5,IF(ISNUMBER(X32)=TRUE,X32*1.79+Z32*1.8+Y32*5.56+50000*(10^-L32)-Q32,1.79+Z32*1.8+Y32*5.56+50000*(10^-L32)-Q32),L32&gt;5,IF(ISNUMBER(X32)=TRUE,X32*1.79+Z32*1.8+50000*(10^-L32)-Q32,Z32*1.8+50000*(10^-L32)-Q32))</f>
        <v>-42.662833728496018</v>
      </c>
      <c r="W32" s="3">
        <v>0.182</v>
      </c>
      <c r="X32" s="3">
        <v>0.05</v>
      </c>
      <c r="Y32" s="3">
        <v>0.3</v>
      </c>
      <c r="Z32" s="3">
        <v>0.13500000000000001</v>
      </c>
      <c r="AA32" s="4">
        <v>95.31</v>
      </c>
      <c r="AB32" s="3">
        <v>37.729999999999997</v>
      </c>
      <c r="AC32" s="8">
        <v>10.68</v>
      </c>
      <c r="AD32" s="8">
        <v>8.75</v>
      </c>
      <c r="AE32" s="3">
        <v>1.62</v>
      </c>
      <c r="AF32" s="3">
        <v>9.9</v>
      </c>
      <c r="AG32" s="2" t="s">
        <v>161</v>
      </c>
      <c r="AH32" s="2" t="s">
        <v>162</v>
      </c>
      <c r="AI32" s="3" t="s">
        <v>159</v>
      </c>
      <c r="AQ32" s="13"/>
      <c r="AR32" s="13"/>
    </row>
    <row r="33" spans="1:45" x14ac:dyDescent="0.3">
      <c r="F33" s="11"/>
      <c r="G33" s="11"/>
      <c r="AC33" s="8"/>
      <c r="AD33" s="8"/>
      <c r="AQ33" s="13"/>
      <c r="AR33" s="13"/>
    </row>
    <row r="34" spans="1:45" x14ac:dyDescent="0.3">
      <c r="A34" s="5">
        <v>45022</v>
      </c>
      <c r="B34" s="12" t="s">
        <v>18</v>
      </c>
      <c r="C34" t="s">
        <v>146</v>
      </c>
      <c r="D34">
        <v>60149</v>
      </c>
      <c r="E34" t="s">
        <v>21</v>
      </c>
      <c r="F34" s="11">
        <v>40.645299999999999</v>
      </c>
      <c r="G34" s="11">
        <v>-79.036760000000001</v>
      </c>
      <c r="H34" t="s">
        <v>256</v>
      </c>
      <c r="I34" s="2">
        <v>0.7</v>
      </c>
      <c r="J34" s="1" t="s">
        <v>219</v>
      </c>
      <c r="L34" s="2">
        <v>7.29</v>
      </c>
      <c r="M34" s="2">
        <v>6.3</v>
      </c>
      <c r="N34" s="1">
        <v>293</v>
      </c>
      <c r="O34" s="1">
        <v>307</v>
      </c>
      <c r="Q34" s="4">
        <v>39</v>
      </c>
      <c r="R34" s="4">
        <v>42.6</v>
      </c>
      <c r="S34" s="4">
        <v>-29.4</v>
      </c>
      <c r="W34" s="3">
        <v>1.43</v>
      </c>
      <c r="X34" s="3">
        <v>0.128</v>
      </c>
      <c r="Y34" s="3">
        <v>0.98</v>
      </c>
      <c r="Z34" s="3">
        <v>0.217</v>
      </c>
      <c r="AA34" s="4">
        <v>85.82</v>
      </c>
      <c r="AB34" s="3">
        <v>33.4</v>
      </c>
      <c r="AC34" s="8">
        <v>9.6999999999999993</v>
      </c>
      <c r="AD34" s="8">
        <v>13.5</v>
      </c>
      <c r="AE34" s="3">
        <v>1.65</v>
      </c>
      <c r="AF34" s="3">
        <v>9</v>
      </c>
      <c r="AG34" s="2" t="s">
        <v>161</v>
      </c>
      <c r="AH34" s="2" t="s">
        <v>162</v>
      </c>
      <c r="AI34" s="3" t="s">
        <v>159</v>
      </c>
      <c r="AQ34" s="13"/>
      <c r="AR34" s="13"/>
    </row>
    <row r="35" spans="1:45" x14ac:dyDescent="0.3">
      <c r="A35" s="5">
        <v>45022</v>
      </c>
      <c r="B35" s="12" t="s">
        <v>70</v>
      </c>
      <c r="C35" t="s">
        <v>25</v>
      </c>
      <c r="E35" t="s">
        <v>26</v>
      </c>
      <c r="F35" s="11">
        <v>40.658344</v>
      </c>
      <c r="G35" s="11">
        <v>-79.024439000000001</v>
      </c>
      <c r="H35" t="s">
        <v>241</v>
      </c>
      <c r="I35" s="2">
        <v>2</v>
      </c>
      <c r="J35" s="1" t="s">
        <v>219</v>
      </c>
      <c r="L35" s="2">
        <v>7.49</v>
      </c>
      <c r="M35" s="2">
        <v>6.8</v>
      </c>
      <c r="N35" s="1">
        <v>275</v>
      </c>
      <c r="O35" s="1">
        <v>296</v>
      </c>
      <c r="Q35" s="4">
        <v>41</v>
      </c>
      <c r="R35" s="4">
        <v>44.4</v>
      </c>
      <c r="S35" s="4">
        <v>-31.4</v>
      </c>
      <c r="T35" s="4" cm="1">
        <f t="array" ref="T35">_xlfn.IFS(L35&lt;=5,IF(ISNUMBER(X35)=TRUE,X35*1.79+Z35*1.8+Y35*5.56+50000*(10^-L35)-Q35,1.79+Z35*1.8+Y35*5.56+50000*(10^-L35)-Q35),L35&gt;5,IF(ISNUMBER(X35)=TRUE,X35*1.79+Z35*1.8+50000*(10^-L35)-Q35,Z35*1.8+50000*(10^-L35)-Q35))</f>
        <v>-40.391462031715349</v>
      </c>
      <c r="W35" s="3">
        <v>1.232</v>
      </c>
      <c r="X35" s="3">
        <v>0.14799999999999999</v>
      </c>
      <c r="Y35" s="3">
        <v>0.83899999999999997</v>
      </c>
      <c r="Z35" s="3">
        <v>0.19</v>
      </c>
      <c r="AA35" s="4">
        <v>86.12</v>
      </c>
      <c r="AB35" s="3">
        <v>27.28</v>
      </c>
      <c r="AC35" s="8">
        <v>8.84</v>
      </c>
      <c r="AD35" s="8">
        <v>12.46</v>
      </c>
      <c r="AE35" s="3">
        <v>1.6</v>
      </c>
      <c r="AF35" s="3">
        <v>9.1</v>
      </c>
      <c r="AG35" s="2" t="s">
        <v>161</v>
      </c>
      <c r="AH35" s="2" t="s">
        <v>162</v>
      </c>
      <c r="AI35" s="3" t="s">
        <v>159</v>
      </c>
      <c r="AQ35" s="13"/>
      <c r="AR35" s="13"/>
    </row>
    <row r="36" spans="1:45" x14ac:dyDescent="0.3">
      <c r="A36" s="5">
        <v>45022</v>
      </c>
      <c r="B36" s="12" t="s">
        <v>48</v>
      </c>
      <c r="C36" t="s">
        <v>30</v>
      </c>
      <c r="E36" t="s">
        <v>31</v>
      </c>
      <c r="F36" s="11"/>
      <c r="G36" s="11"/>
      <c r="H36" t="s">
        <v>245</v>
      </c>
      <c r="I36" s="2">
        <v>2.95</v>
      </c>
      <c r="J36" s="1">
        <v>27627</v>
      </c>
      <c r="K36" t="s">
        <v>96</v>
      </c>
      <c r="L36" s="2">
        <v>7.55</v>
      </c>
      <c r="M36" s="2">
        <v>6.5</v>
      </c>
      <c r="N36" s="1">
        <v>234</v>
      </c>
      <c r="O36" s="1">
        <v>255</v>
      </c>
      <c r="R36" s="4">
        <v>45.6</v>
      </c>
      <c r="S36" s="4">
        <v>-32.6</v>
      </c>
      <c r="T36" s="4" cm="1">
        <f t="array" ref="T36">_xlfn.IFS(L36&lt;=5,IF(ISNUMBER(X36)=TRUE,X36*1.79+Z36*1.8+Y36*5.56+50000*(10^-L36)-R36,1.79+Z36*1.8+Y36*5.56+50000*(10^-L36)-R36),L36&gt;5,IF(ISNUMBER(X36)=TRUE,X36*1.79+Z36*1.8+50000*(10^-L36)-R36,Z36*1.8+50000*(10^-L36)-R36))</f>
        <v>-45.233840808534367</v>
      </c>
      <c r="W36" s="3">
        <v>0.80200000000000005</v>
      </c>
      <c r="X36" s="3">
        <v>6.5000000000000002E-2</v>
      </c>
      <c r="Y36" s="3">
        <v>0.621</v>
      </c>
      <c r="Z36" s="3">
        <v>0.13800000000000001</v>
      </c>
      <c r="AA36" s="4">
        <v>62.74</v>
      </c>
      <c r="AB36" s="3">
        <v>26</v>
      </c>
      <c r="AC36" s="8">
        <v>7.54</v>
      </c>
      <c r="AD36" s="8">
        <v>14.6</v>
      </c>
      <c r="AE36" s="3">
        <v>1.54</v>
      </c>
      <c r="AF36" s="3">
        <v>9.1999999999999993</v>
      </c>
      <c r="AG36" s="2" t="s">
        <v>161</v>
      </c>
      <c r="AH36" s="2" t="s">
        <v>162</v>
      </c>
      <c r="AI36" s="3" t="s">
        <v>159</v>
      </c>
      <c r="AK36" s="1">
        <f>S36*J36*0.012</f>
        <v>-10807.682400000002</v>
      </c>
      <c r="AL36" s="1">
        <f>W36*J36*0.012</f>
        <v>265.88224800000006</v>
      </c>
      <c r="AM36" s="1">
        <f>Y36*J36*0.012</f>
        <v>205.87640399999998</v>
      </c>
      <c r="AN36" s="1">
        <f>Z36*J36*0.012</f>
        <v>45.750312000000001</v>
      </c>
      <c r="AO36" s="1">
        <f>AA36*J36*0.012</f>
        <v>20799.815760000001</v>
      </c>
      <c r="AQ36" s="13"/>
      <c r="AR36" s="13"/>
    </row>
    <row r="37" spans="1:45" x14ac:dyDescent="0.3">
      <c r="A37" s="5">
        <v>45022</v>
      </c>
      <c r="B37" s="12" t="s">
        <v>75</v>
      </c>
      <c r="C37" t="s">
        <v>242</v>
      </c>
      <c r="E37" t="s">
        <v>36</v>
      </c>
      <c r="F37" s="11">
        <v>40.672021999999998</v>
      </c>
      <c r="G37" s="11">
        <v>-79.002600000000001</v>
      </c>
      <c r="H37" t="s">
        <v>241</v>
      </c>
      <c r="I37" s="2">
        <v>3.7</v>
      </c>
      <c r="J37" s="1" t="s">
        <v>219</v>
      </c>
      <c r="L37" s="2">
        <v>7.25</v>
      </c>
      <c r="M37" s="2">
        <v>6.9</v>
      </c>
      <c r="N37" s="1">
        <v>221</v>
      </c>
      <c r="O37" s="1">
        <v>249</v>
      </c>
      <c r="Q37" s="4">
        <v>44</v>
      </c>
      <c r="R37" s="4">
        <v>47.6</v>
      </c>
      <c r="S37" s="4">
        <v>-33.4</v>
      </c>
      <c r="T37" s="4" cm="1">
        <f t="array" ref="T37">_xlfn.IFS(L37&lt;=5,IF(ISNUMBER(X37)=TRUE,X37*1.79+Z37*1.8+Y37*5.56+50000*(10^-L37)-Q37,1.79+Z37*1.8+Y37*5.56+50000*(10^-L37)-Q37),L37&gt;5,IF(ISNUMBER(X37)=TRUE,X37*1.79+Z37*1.8+50000*(10^-L37)-Q37,Z37*1.8+50000*(10^-L37)-Q37))</f>
        <v>-43.541428293374047</v>
      </c>
      <c r="W37" s="3">
        <v>0.72099999999999997</v>
      </c>
      <c r="X37" s="3">
        <v>0.14399999999999999</v>
      </c>
      <c r="Y37" s="3">
        <v>0.46100000000000002</v>
      </c>
      <c r="Z37" s="3">
        <v>0.11</v>
      </c>
      <c r="AA37" s="4">
        <v>58.05</v>
      </c>
      <c r="AB37" s="3">
        <v>20.36</v>
      </c>
      <c r="AC37" s="8">
        <v>6.32</v>
      </c>
      <c r="AD37" s="8">
        <v>13.55</v>
      </c>
      <c r="AE37" s="3">
        <v>1.48</v>
      </c>
      <c r="AF37" s="3">
        <v>8.4</v>
      </c>
      <c r="AG37" s="2" t="s">
        <v>161</v>
      </c>
      <c r="AH37" s="2" t="s">
        <v>162</v>
      </c>
      <c r="AI37" s="3" t="s">
        <v>159</v>
      </c>
      <c r="AQ37" s="13"/>
      <c r="AR37" s="13"/>
    </row>
    <row r="38" spans="1:45" x14ac:dyDescent="0.3">
      <c r="A38" s="5">
        <v>45022</v>
      </c>
      <c r="B38" s="12" t="s">
        <v>79</v>
      </c>
      <c r="C38" t="s">
        <v>41</v>
      </c>
      <c r="E38" t="s">
        <v>42</v>
      </c>
      <c r="F38" s="11">
        <v>40.657780000000002</v>
      </c>
      <c r="G38" s="11">
        <v>-78.975070000000002</v>
      </c>
      <c r="H38" t="s">
        <v>241</v>
      </c>
      <c r="I38" s="2">
        <v>5.95</v>
      </c>
      <c r="J38" s="1" t="s">
        <v>219</v>
      </c>
      <c r="L38" s="2">
        <v>7.65</v>
      </c>
      <c r="M38" s="2">
        <v>6.8</v>
      </c>
      <c r="N38" s="1">
        <v>237</v>
      </c>
      <c r="O38" s="1">
        <v>203</v>
      </c>
      <c r="Q38" s="4">
        <v>41</v>
      </c>
      <c r="R38" s="4">
        <v>44.8</v>
      </c>
      <c r="S38" s="4">
        <v>-32</v>
      </c>
      <c r="T38" s="4" cm="1">
        <f t="array" ref="T38">_xlfn.IFS(L38&lt;=5,IF(ISNUMBER(X38)=TRUE,X38*1.79+Z38*1.8+Y38*5.56+50000*(10^-L38)-R38,1.79+Z38*1.8+Y38*5.56+50000*(10^-L38)-R38),L38&gt;5,IF(ISNUMBER(X38)=TRUE,X38*1.79+Z38*1.8+50000*(10^-L38)-R38,Z38*1.8+50000*(10^-L38)-R38))</f>
        <v>-44.563790639430714</v>
      </c>
      <c r="W38" s="3">
        <v>0.35599999999999998</v>
      </c>
      <c r="X38" s="3">
        <v>7.0999999999999994E-2</v>
      </c>
      <c r="Y38" s="3">
        <v>0.33200000000000002</v>
      </c>
      <c r="Z38" s="3">
        <v>0.06</v>
      </c>
      <c r="AA38" s="4">
        <v>39.82</v>
      </c>
      <c r="AB38" s="3">
        <v>16.43</v>
      </c>
      <c r="AC38" s="8">
        <v>5.36</v>
      </c>
      <c r="AD38" s="8">
        <v>11.87</v>
      </c>
      <c r="AE38" s="3">
        <v>1.38</v>
      </c>
      <c r="AF38" s="3">
        <v>8</v>
      </c>
      <c r="AG38" s="2" t="s">
        <v>161</v>
      </c>
      <c r="AH38" s="2" t="s">
        <v>162</v>
      </c>
      <c r="AI38" s="3" t="s">
        <v>159</v>
      </c>
      <c r="AQ38" s="13"/>
      <c r="AR38" s="13"/>
    </row>
    <row r="39" spans="1:45" x14ac:dyDescent="0.3">
      <c r="A39" s="5">
        <v>45022</v>
      </c>
      <c r="B39" s="12" t="s">
        <v>82</v>
      </c>
      <c r="C39" t="s">
        <v>44</v>
      </c>
      <c r="E39" t="s">
        <v>45</v>
      </c>
      <c r="F39" s="11">
        <v>40.66272</v>
      </c>
      <c r="G39" s="11">
        <v>-78.968819999999994</v>
      </c>
      <c r="H39" t="s">
        <v>241</v>
      </c>
      <c r="I39" s="2">
        <v>6.9</v>
      </c>
      <c r="J39" s="1" t="s">
        <v>219</v>
      </c>
      <c r="L39" s="2">
        <v>7.65</v>
      </c>
      <c r="M39" s="2">
        <v>7</v>
      </c>
      <c r="N39" s="1">
        <v>224</v>
      </c>
      <c r="O39" s="1">
        <v>231</v>
      </c>
      <c r="Q39" s="4">
        <v>49</v>
      </c>
      <c r="R39" s="4">
        <v>56.4</v>
      </c>
      <c r="S39" s="4">
        <v>-44</v>
      </c>
      <c r="T39" s="4" cm="1">
        <f t="array" ref="T39">_xlfn.IFS(L39&lt;=5,IF(ISNUMBER(X39)=TRUE,X39*1.79+Z39*1.8+Y39*5.56+50000*(10^-L39)-Q39,1.79+Z39*1.8+Y39*5.56+50000*(10^-L39)-Q39),L39&gt;5,IF(ISNUMBER(X39)=TRUE,X39*1.79+Z39*1.8+50000*(10^-L39)-Q39,Z39*1.8+50000*(10^-L39)-Q39))</f>
        <v>-48.787050639430717</v>
      </c>
      <c r="W39" s="3">
        <v>0.24399999999999999</v>
      </c>
      <c r="X39" s="3">
        <v>5.7000000000000002E-2</v>
      </c>
      <c r="Y39" s="3">
        <v>0.3</v>
      </c>
      <c r="Z39" s="3">
        <v>6.0999999999999999E-2</v>
      </c>
      <c r="AA39" s="4">
        <v>43.63</v>
      </c>
      <c r="AB39" s="3">
        <v>18.760000000000002</v>
      </c>
      <c r="AC39" s="8">
        <v>5.92</v>
      </c>
      <c r="AD39" s="8">
        <v>14.81</v>
      </c>
      <c r="AE39" s="3">
        <v>1.48</v>
      </c>
      <c r="AF39" s="3">
        <v>8.8000000000000007</v>
      </c>
      <c r="AG39" s="2" t="s">
        <v>161</v>
      </c>
      <c r="AH39" s="2" t="s">
        <v>162</v>
      </c>
      <c r="AI39" s="3" t="s">
        <v>159</v>
      </c>
      <c r="AQ39" s="13"/>
      <c r="AR39" s="13"/>
    </row>
    <row r="40" spans="1:45" x14ac:dyDescent="0.3">
      <c r="A40" s="5">
        <v>45022</v>
      </c>
      <c r="B40" s="12" t="s">
        <v>85</v>
      </c>
      <c r="C40" t="s">
        <v>49</v>
      </c>
      <c r="E40" t="s">
        <v>602</v>
      </c>
      <c r="F40" s="11">
        <v>40.67557</v>
      </c>
      <c r="G40" s="11">
        <v>-78.963009999999997</v>
      </c>
      <c r="H40" t="s">
        <v>241</v>
      </c>
      <c r="I40" s="2">
        <v>8.39</v>
      </c>
      <c r="J40" s="1" t="s">
        <v>219</v>
      </c>
      <c r="L40" s="2">
        <v>7.52</v>
      </c>
      <c r="M40" s="2">
        <v>6.8</v>
      </c>
      <c r="N40" s="1">
        <v>275</v>
      </c>
      <c r="O40" s="1">
        <v>194</v>
      </c>
      <c r="Q40" s="4">
        <v>39</v>
      </c>
      <c r="R40" s="4">
        <v>42.6</v>
      </c>
      <c r="S40" s="4">
        <v>-29.4</v>
      </c>
      <c r="T40" s="4" cm="1">
        <f t="array" ref="T40">_xlfn.IFS(L40&lt;=5,IF(ISNUMBER(X190)=TRUE,X190*1.79+Z190*1.8+Y190*5.56+50000*(10^-L40)-Q40,1.79+Z190*1.8+Y190*5.56+50000*(10^-L40)-Q40),L40&gt;5,IF(ISNUMBER(X190)=TRUE,X190*1.79+Z190*1.8+50000*(10^-L40)-Q40,Z190*1.8+50000*(10^-L40)-Q40))</f>
        <v>-38.998490024139798</v>
      </c>
      <c r="W40" s="3">
        <v>0.312</v>
      </c>
      <c r="X40" s="3">
        <v>0.05</v>
      </c>
      <c r="Y40" s="3">
        <v>0.3</v>
      </c>
      <c r="Z40" s="3">
        <v>0.12</v>
      </c>
      <c r="AA40" s="4">
        <v>84.79</v>
      </c>
      <c r="AB40" s="3">
        <v>29.06</v>
      </c>
      <c r="AC40" s="8">
        <v>9.0399999999999991</v>
      </c>
      <c r="AD40" s="8">
        <v>7.28</v>
      </c>
      <c r="AE40" s="3">
        <v>1.66</v>
      </c>
      <c r="AF40" s="3">
        <v>8.6</v>
      </c>
      <c r="AG40" s="2" t="s">
        <v>161</v>
      </c>
      <c r="AH40" s="2" t="s">
        <v>162</v>
      </c>
      <c r="AI40" s="3" t="s">
        <v>159</v>
      </c>
      <c r="AQ40" s="13"/>
      <c r="AR40" s="13"/>
    </row>
    <row r="41" spans="1:45" x14ac:dyDescent="0.3">
      <c r="A41" s="5">
        <v>45022</v>
      </c>
      <c r="B41" s="12" t="s">
        <v>86</v>
      </c>
      <c r="C41" t="s">
        <v>51</v>
      </c>
      <c r="E41" t="s">
        <v>112</v>
      </c>
      <c r="F41" s="11">
        <v>40.69773</v>
      </c>
      <c r="G41" s="11">
        <v>-78.958299999999994</v>
      </c>
      <c r="H41" t="s">
        <v>241</v>
      </c>
      <c r="I41" s="2">
        <v>10.16</v>
      </c>
      <c r="J41" s="1" t="s">
        <v>219</v>
      </c>
      <c r="L41" s="2">
        <v>7.61</v>
      </c>
      <c r="M41" s="2">
        <v>6.7</v>
      </c>
      <c r="N41" s="1">
        <v>265</v>
      </c>
      <c r="O41" s="1">
        <v>277</v>
      </c>
      <c r="Q41" s="4">
        <v>38</v>
      </c>
      <c r="R41" s="4">
        <v>43.4</v>
      </c>
      <c r="S41" s="4">
        <v>-31.2</v>
      </c>
      <c r="T41" s="4" cm="1">
        <f t="array" ref="T41">_xlfn.IFS(L41&lt;=5,IF(ISNUMBER(X41)=TRUE,X41*1.79+Z41*1.8+Y41*5.56+50000*(10^-L41)-Q41,1.79+Z41*1.8+Y41*5.56+50000*(10^-L41)-Q41),L41&gt;5,IF(ISNUMBER(X41)=TRUE,X41*1.79+Z41*1.8+50000*(10^-L41)-Q41,Z41*1.8+50000*(10^-L41)-Q41))</f>
        <v>-37.761672645542156</v>
      </c>
      <c r="W41" s="3">
        <v>0.25800000000000001</v>
      </c>
      <c r="X41" s="3">
        <v>0.05</v>
      </c>
      <c r="Y41" s="3">
        <v>0.3</v>
      </c>
      <c r="Z41" s="3">
        <v>8.2000000000000003E-2</v>
      </c>
      <c r="AA41" s="4">
        <v>76.12</v>
      </c>
      <c r="AB41" s="3">
        <v>26.89</v>
      </c>
      <c r="AC41" s="8">
        <v>7.92</v>
      </c>
      <c r="AD41" s="8">
        <v>6.69</v>
      </c>
      <c r="AE41" s="3">
        <v>1.51</v>
      </c>
      <c r="AF41" s="3">
        <v>8.8000000000000007</v>
      </c>
      <c r="AG41" s="2" t="s">
        <v>161</v>
      </c>
      <c r="AH41" s="2" t="s">
        <v>162</v>
      </c>
      <c r="AI41" s="3" t="s">
        <v>159</v>
      </c>
      <c r="AQ41" s="13"/>
      <c r="AR41" s="13"/>
    </row>
    <row r="42" spans="1:45" x14ac:dyDescent="0.3">
      <c r="F42" s="11"/>
      <c r="G42" s="11"/>
      <c r="AC42" s="8"/>
      <c r="AD42" s="8"/>
      <c r="AQ42" s="13"/>
      <c r="AR42" s="13"/>
    </row>
    <row r="43" spans="1:45" x14ac:dyDescent="0.3">
      <c r="A43" s="5">
        <v>45098</v>
      </c>
      <c r="B43" s="12" t="s">
        <v>18</v>
      </c>
      <c r="C43" t="s">
        <v>146</v>
      </c>
      <c r="D43">
        <v>60149</v>
      </c>
      <c r="E43" t="s">
        <v>21</v>
      </c>
      <c r="F43" s="11">
        <v>40.645299999999999</v>
      </c>
      <c r="G43" s="11">
        <v>-79.036760000000001</v>
      </c>
      <c r="H43" t="s">
        <v>256</v>
      </c>
      <c r="I43" s="2">
        <v>0.7</v>
      </c>
      <c r="J43" s="1">
        <v>6072</v>
      </c>
      <c r="K43" t="s">
        <v>96</v>
      </c>
      <c r="L43" s="2">
        <v>7.76</v>
      </c>
      <c r="M43" s="2">
        <v>7.7</v>
      </c>
      <c r="N43" s="1">
        <v>530</v>
      </c>
      <c r="O43" s="1">
        <v>526</v>
      </c>
      <c r="R43" s="40">
        <v>88.4</v>
      </c>
      <c r="S43" s="40">
        <v>-78.8</v>
      </c>
      <c r="T43" s="6"/>
      <c r="U43" s="6"/>
      <c r="V43" s="6"/>
      <c r="W43" s="8">
        <v>0.41599999999999998</v>
      </c>
      <c r="X43" s="8">
        <v>0.05</v>
      </c>
      <c r="Y43" s="8">
        <v>0.43099999999999999</v>
      </c>
      <c r="Z43" s="8">
        <v>0.23200000000000001</v>
      </c>
      <c r="AA43" s="40">
        <v>156.88</v>
      </c>
      <c r="AB43" s="8">
        <v>49.86</v>
      </c>
      <c r="AC43" s="6">
        <v>14.28</v>
      </c>
      <c r="AD43" s="8">
        <v>35.950000000000003</v>
      </c>
      <c r="AE43" s="8">
        <v>2.15</v>
      </c>
      <c r="AF43" s="6">
        <v>13.3</v>
      </c>
      <c r="AG43" s="6">
        <v>0.05</v>
      </c>
      <c r="AH43" s="41">
        <v>0.03</v>
      </c>
      <c r="AI43" s="6">
        <v>0.2</v>
      </c>
      <c r="AK43" s="1">
        <f t="shared" ref="AK43" si="12">S43*J43*0.012</f>
        <v>-5741.6831999999995</v>
      </c>
      <c r="AL43" s="1">
        <f t="shared" ref="AL43" si="13">W43*J43*0.012</f>
        <v>30.311423999999999</v>
      </c>
      <c r="AM43" s="1">
        <f t="shared" ref="AM43" si="14">Y43*J43*0.012</f>
        <v>31.404384000000004</v>
      </c>
      <c r="AN43" s="1">
        <f t="shared" ref="AN43" si="15">Z43*J43*0.012</f>
        <v>16.904448000000002</v>
      </c>
      <c r="AO43" s="1">
        <f t="shared" ref="AO43" si="16">AA43*J43*0.012</f>
        <v>11430.90432</v>
      </c>
      <c r="AQ43" s="13"/>
      <c r="AR43" s="13"/>
    </row>
    <row r="44" spans="1:45" s="7" customFormat="1" x14ac:dyDescent="0.3">
      <c r="A44" s="5">
        <v>45098</v>
      </c>
      <c r="B44" s="12" t="s">
        <v>274</v>
      </c>
      <c r="C44" t="s">
        <v>25</v>
      </c>
      <c r="D44"/>
      <c r="E44" t="s">
        <v>26</v>
      </c>
      <c r="F44" s="11">
        <v>40.658344</v>
      </c>
      <c r="G44" s="11">
        <v>-79.024439000000001</v>
      </c>
      <c r="H44" t="s">
        <v>241</v>
      </c>
      <c r="I44" s="2">
        <v>2</v>
      </c>
      <c r="J44" s="1" t="s">
        <v>219</v>
      </c>
      <c r="K44"/>
      <c r="L44" s="2">
        <v>8.1300000000000008</v>
      </c>
      <c r="M44" s="2">
        <v>7.4</v>
      </c>
      <c r="N44" s="1">
        <v>533</v>
      </c>
      <c r="O44" s="1">
        <v>511</v>
      </c>
      <c r="P44" s="3">
        <v>21.1</v>
      </c>
      <c r="Q44" s="4">
        <v>111</v>
      </c>
      <c r="R44" s="6">
        <v>99</v>
      </c>
      <c r="S44" s="40">
        <v>-80.400000000000006</v>
      </c>
      <c r="T44" s="4" cm="1">
        <f t="array" ref="T44">_xlfn.IFS(L44&lt;=5,IF(ISNUMBER(X44)=TRUE,X44*1.79+Z44*1.8+Y44*5.56+50000*(10^-L44)-Q44,1.79+Z44*1.8+Y44*5.56+50000*(10^-L44)-Q44),L44&gt;5,IF(ISNUMBER(X44)=TRUE,X44*1.79+Z44*1.8+50000*(10^-L44)-Q44,Z44*1.8+50000*(10^-L44)-Q44))</f>
        <v>-110.49793934487936</v>
      </c>
      <c r="U44" s="6"/>
      <c r="V44" s="6"/>
      <c r="W44" s="8">
        <v>0.46200000000000002</v>
      </c>
      <c r="X44" s="8">
        <v>5.0999999999999997E-2</v>
      </c>
      <c r="Y44" s="8">
        <v>0.30299999999999999</v>
      </c>
      <c r="Z44" s="8">
        <v>0.22800000000000001</v>
      </c>
      <c r="AA44" s="40">
        <v>149.44</v>
      </c>
      <c r="AB44" s="8">
        <v>50.27</v>
      </c>
      <c r="AC44" s="6">
        <v>14.45</v>
      </c>
      <c r="AD44" s="6">
        <v>37.700000000000003</v>
      </c>
      <c r="AE44" s="8">
        <v>2.16</v>
      </c>
      <c r="AF44" s="6">
        <v>11.4</v>
      </c>
      <c r="AG44" s="6">
        <v>0.05</v>
      </c>
      <c r="AH44" s="41">
        <v>0.03</v>
      </c>
      <c r="AI44" s="6">
        <v>0.2</v>
      </c>
      <c r="AJ44" s="3"/>
      <c r="AK44" s="1"/>
      <c r="AL44" s="1"/>
      <c r="AM44" s="1"/>
      <c r="AN44" s="1"/>
      <c r="AO44" s="1"/>
      <c r="AP44"/>
      <c r="AQ44" s="13"/>
      <c r="AR44" s="13"/>
      <c r="AS44"/>
    </row>
    <row r="45" spans="1:45" x14ac:dyDescent="0.3">
      <c r="A45" s="5">
        <v>45098</v>
      </c>
      <c r="B45" s="12" t="s">
        <v>273</v>
      </c>
      <c r="C45" t="s">
        <v>30</v>
      </c>
      <c r="E45" t="s">
        <v>31</v>
      </c>
      <c r="F45" s="11"/>
      <c r="G45" s="11"/>
      <c r="H45" t="s">
        <v>241</v>
      </c>
      <c r="I45" s="2">
        <v>2.95</v>
      </c>
      <c r="J45" s="1">
        <v>5438</v>
      </c>
      <c r="K45" t="s">
        <v>96</v>
      </c>
      <c r="L45" s="2">
        <v>8.1</v>
      </c>
      <c r="M45" s="2">
        <v>7.6</v>
      </c>
      <c r="N45" s="1">
        <v>503</v>
      </c>
      <c r="O45" s="1">
        <v>482</v>
      </c>
      <c r="P45" s="3">
        <v>20</v>
      </c>
      <c r="Q45" s="4">
        <v>98</v>
      </c>
      <c r="R45" s="4">
        <v>111</v>
      </c>
      <c r="S45" s="4">
        <v>-92.4</v>
      </c>
      <c r="T45" s="4" cm="1">
        <f t="array" ref="T45">_xlfn.IFS(L45&lt;=5,IF(ISNUMBER(X45)=TRUE,X45*1.79+Z45*1.8+Y45*5.56+50000*(10^-L45)-Q45,1.79+Z45*1.8+Y45*5.56+50000*(10^-L45)-Q45),L45&gt;5,IF(ISNUMBER(X45)=TRUE,X45*1.79+Z45*1.8+50000*(10^-L45)-Q45,Z45*1.8+50000*(10^-L45)-Q45))</f>
        <v>-97.595102835882642</v>
      </c>
      <c r="W45" s="3">
        <v>0.624</v>
      </c>
      <c r="X45" s="3">
        <v>0.05</v>
      </c>
      <c r="Y45" s="3">
        <v>0.308</v>
      </c>
      <c r="Z45" s="3">
        <v>0.17499999999999999</v>
      </c>
      <c r="AA45" s="4">
        <v>118.62</v>
      </c>
      <c r="AB45" s="3">
        <v>43.97</v>
      </c>
      <c r="AC45" s="8">
        <v>12</v>
      </c>
      <c r="AD45" s="8">
        <v>40.56</v>
      </c>
      <c r="AE45" s="3">
        <v>2.0499999999999998</v>
      </c>
      <c r="AF45" s="3">
        <v>11</v>
      </c>
      <c r="AG45" s="2">
        <v>0.05</v>
      </c>
      <c r="AH45" s="2">
        <v>0.03</v>
      </c>
      <c r="AI45" s="3">
        <v>0.2</v>
      </c>
      <c r="AK45" s="1">
        <f>S45*J45*0.012</f>
        <v>-6029.6544000000004</v>
      </c>
      <c r="AL45" s="1">
        <f>W45*J45*0.012</f>
        <v>40.719743999999999</v>
      </c>
      <c r="AM45" s="1">
        <f>Y45*J45*0.012</f>
        <v>20.098848</v>
      </c>
      <c r="AN45" s="1">
        <f>Z45*J45*0.012</f>
        <v>11.4198</v>
      </c>
      <c r="AO45" s="1">
        <f>AA45*J45*0.012</f>
        <v>7740.6667200000011</v>
      </c>
      <c r="AQ45" s="13"/>
      <c r="AR45" s="13"/>
    </row>
    <row r="46" spans="1:45" x14ac:dyDescent="0.3">
      <c r="A46" s="5">
        <v>45098</v>
      </c>
      <c r="B46" s="12" t="s">
        <v>272</v>
      </c>
      <c r="C46" t="s">
        <v>35</v>
      </c>
      <c r="E46" t="s">
        <v>36</v>
      </c>
      <c r="F46" s="11">
        <v>40.672021999999998</v>
      </c>
      <c r="G46" s="11">
        <v>-79.002600000000001</v>
      </c>
      <c r="H46" t="s">
        <v>241</v>
      </c>
      <c r="I46" s="2">
        <v>3.7</v>
      </c>
      <c r="J46" s="1" t="s">
        <v>219</v>
      </c>
      <c r="L46" s="2">
        <v>8.0299999999999994</v>
      </c>
      <c r="M46" s="2">
        <v>7.6</v>
      </c>
      <c r="N46" s="1">
        <v>506</v>
      </c>
      <c r="O46" s="1">
        <v>485</v>
      </c>
      <c r="P46" s="3">
        <v>19.100000000000001</v>
      </c>
      <c r="Q46" s="4">
        <v>99</v>
      </c>
      <c r="R46" s="4">
        <v>118.4</v>
      </c>
      <c r="S46" s="4">
        <v>-100.6</v>
      </c>
      <c r="T46" s="4" cm="1">
        <f t="array" ref="T46">_xlfn.IFS(L46&lt;=5,IF(ISNUMBER(X46)=TRUE,X46*1.79+Z46*1.8+Y46*5.56+50000*(10^-L46)-Q46,1.79+Z46*1.8+Y46*5.56+50000*(10^-L46)-Q46),L46&gt;5,IF(ISNUMBER(X46)=TRUE,X46*1.79+Z46*1.8+50000*(10^-L46)-Q46,Z46*1.8+50000*(10^-L46)-Q46))</f>
        <v>-98.458613372849598</v>
      </c>
      <c r="W46" s="3">
        <v>1.21</v>
      </c>
      <c r="X46" s="3">
        <v>8.7999999999999995E-2</v>
      </c>
      <c r="Y46" s="3">
        <v>0.45400000000000001</v>
      </c>
      <c r="Z46" s="3">
        <v>0.21299999999999999</v>
      </c>
      <c r="AA46" s="4">
        <v>116.08</v>
      </c>
      <c r="AB46" s="3">
        <v>43.17</v>
      </c>
      <c r="AC46" s="8">
        <v>11.54</v>
      </c>
      <c r="AD46" s="8">
        <v>42.14</v>
      </c>
      <c r="AE46" s="3">
        <v>2.0299999999999998</v>
      </c>
      <c r="AF46" s="3">
        <v>10.4</v>
      </c>
      <c r="AG46" s="2">
        <v>0.05</v>
      </c>
      <c r="AH46" s="2">
        <v>0.03</v>
      </c>
      <c r="AI46" s="3">
        <v>0.2</v>
      </c>
      <c r="AQ46" s="13"/>
      <c r="AR46" s="13"/>
    </row>
    <row r="47" spans="1:45" x14ac:dyDescent="0.3">
      <c r="A47" s="5">
        <v>45098</v>
      </c>
      <c r="B47" s="12" t="s">
        <v>270</v>
      </c>
      <c r="C47" t="s">
        <v>41</v>
      </c>
      <c r="E47" t="s">
        <v>42</v>
      </c>
      <c r="F47" s="11">
        <v>40.657780000000002</v>
      </c>
      <c r="G47" s="11">
        <v>-78.975070000000002</v>
      </c>
      <c r="H47" t="s">
        <v>241</v>
      </c>
      <c r="I47" s="2">
        <v>5.95</v>
      </c>
      <c r="J47" s="1" t="s">
        <v>219</v>
      </c>
      <c r="L47" s="2">
        <v>7.91</v>
      </c>
      <c r="M47" s="2">
        <v>7.7</v>
      </c>
      <c r="N47" s="1">
        <v>476</v>
      </c>
      <c r="O47" s="1">
        <v>458</v>
      </c>
      <c r="P47" s="3">
        <v>18.100000000000001</v>
      </c>
      <c r="Q47" s="4">
        <v>113</v>
      </c>
      <c r="R47" s="4">
        <v>134.19999999999999</v>
      </c>
      <c r="S47" s="4">
        <v>-121.4</v>
      </c>
      <c r="T47" s="4" cm="1">
        <f t="array" ref="T47">_xlfn.IFS(L47&lt;=5,IF(ISNUMBER(X47)=TRUE,X47*1.79+Z47*1.8+Y47*5.56+50000*(10^-L47)-R47,1.79+Z47*1.8+Y47*5.56+50000*(10^-L47)-R47),L47&gt;5,IF(ISNUMBER(X47)=TRUE,X47*1.79+Z47*1.8+50000*(10^-L47)-R47,Z47*1.8+50000*(10^-L47)-R47))</f>
        <v>-133.92808486561458</v>
      </c>
      <c r="W47" s="3">
        <v>0.49299999999999999</v>
      </c>
      <c r="X47" s="3">
        <v>0.05</v>
      </c>
      <c r="Y47" s="3">
        <v>0.45900000000000002</v>
      </c>
      <c r="Z47" s="3">
        <v>0.10100000000000001</v>
      </c>
      <c r="AA47" s="4">
        <v>87.14</v>
      </c>
      <c r="AB47" s="3">
        <v>37.33</v>
      </c>
      <c r="AC47" s="8">
        <v>10.26</v>
      </c>
      <c r="AD47" s="8">
        <v>47.7</v>
      </c>
      <c r="AE47" s="3">
        <v>1.94</v>
      </c>
      <c r="AF47" s="3">
        <v>10.8</v>
      </c>
      <c r="AG47" s="2">
        <v>0.05</v>
      </c>
      <c r="AH47" s="2">
        <v>0.03</v>
      </c>
      <c r="AI47" s="3">
        <v>0.2</v>
      </c>
      <c r="AQ47" s="13"/>
      <c r="AR47" s="13"/>
    </row>
    <row r="48" spans="1:45" x14ac:dyDescent="0.3">
      <c r="A48" s="5">
        <v>45098</v>
      </c>
      <c r="B48" s="12" t="s">
        <v>269</v>
      </c>
      <c r="C48" t="s">
        <v>44</v>
      </c>
      <c r="E48" t="s">
        <v>45</v>
      </c>
      <c r="F48" s="11">
        <v>40.66272</v>
      </c>
      <c r="G48" s="11">
        <v>-78.968819999999994</v>
      </c>
      <c r="H48" t="s">
        <v>241</v>
      </c>
      <c r="I48" s="2">
        <v>6.9</v>
      </c>
      <c r="J48" s="1" t="s">
        <v>219</v>
      </c>
      <c r="L48" s="2">
        <v>8.25</v>
      </c>
      <c r="M48" s="2">
        <v>7.9</v>
      </c>
      <c r="N48" s="1">
        <v>504</v>
      </c>
      <c r="O48" s="1">
        <v>504</v>
      </c>
      <c r="P48" s="3">
        <v>18.399999999999999</v>
      </c>
      <c r="Q48" s="4">
        <v>130</v>
      </c>
      <c r="R48" s="4">
        <v>161.6</v>
      </c>
      <c r="S48" s="4">
        <v>-136.6</v>
      </c>
      <c r="T48" s="4" cm="1">
        <f t="array" ref="T48">_xlfn.IFS(L48&lt;=5,IF(ISNUMBER(X48)=TRUE,X48*1.79+Z48*1.8+Y48*5.56+50000*(10^-L48)-Q48,1.79+Z48*1.8+Y48*5.56+50000*(10^-L48)-Q48),L48&gt;5,IF(ISNUMBER(X48)=TRUE,X48*1.79+Z48*1.8+50000*(10^-L48)-Q48,Z48*1.8+50000*(10^-L48)-Q48))</f>
        <v>-129.8094188293374</v>
      </c>
      <c r="W48" s="3">
        <v>0.26700000000000002</v>
      </c>
      <c r="X48" s="3">
        <v>0.05</v>
      </c>
      <c r="Y48" s="3">
        <v>0.3</v>
      </c>
      <c r="Z48" s="3">
        <v>5.6000000000000001E-2</v>
      </c>
      <c r="AA48" s="4">
        <v>70.650000000000006</v>
      </c>
      <c r="AB48" s="3">
        <v>35.32</v>
      </c>
      <c r="AC48" s="8">
        <v>9.57</v>
      </c>
      <c r="AD48" s="8">
        <v>49.11</v>
      </c>
      <c r="AE48" s="3">
        <v>1.9</v>
      </c>
      <c r="AF48" s="3">
        <v>11</v>
      </c>
      <c r="AG48" s="2">
        <v>0.05</v>
      </c>
      <c r="AH48" s="2">
        <v>0.03</v>
      </c>
      <c r="AI48" s="3">
        <v>0.2</v>
      </c>
      <c r="AQ48" s="13"/>
      <c r="AR48" s="13"/>
      <c r="AS48" s="7"/>
    </row>
    <row r="49" spans="1:48" x14ac:dyDescent="0.3">
      <c r="A49" s="5">
        <v>45098</v>
      </c>
      <c r="B49" s="12" t="s">
        <v>266</v>
      </c>
      <c r="C49" t="s">
        <v>49</v>
      </c>
      <c r="E49" t="s">
        <v>602</v>
      </c>
      <c r="F49" s="11">
        <v>40.67557</v>
      </c>
      <c r="G49" s="11">
        <v>-78.963009999999997</v>
      </c>
      <c r="H49" t="s">
        <v>241</v>
      </c>
      <c r="I49" s="2">
        <v>8.39</v>
      </c>
      <c r="J49" s="1" t="s">
        <v>219</v>
      </c>
      <c r="L49" s="2">
        <v>7.71</v>
      </c>
      <c r="M49" s="2">
        <v>6.8</v>
      </c>
      <c r="N49" s="1">
        <v>485</v>
      </c>
      <c r="O49" s="1">
        <v>463</v>
      </c>
      <c r="P49" s="3">
        <v>15.7</v>
      </c>
      <c r="Q49" s="4">
        <v>60</v>
      </c>
      <c r="R49" s="4">
        <v>67</v>
      </c>
      <c r="S49" s="4">
        <v>-54.2</v>
      </c>
      <c r="T49" s="4" cm="1">
        <f t="array" ref="T49">_xlfn.IFS(L49&lt;=5,IF(ISNUMBER(X197)=TRUE,X197*1.79+Z197*1.8+Y197*5.56+50000*(10^-L49)-Q49,1.79+Z197*1.8+Y197*5.56+50000*(10^-L49)-Q49),L49&gt;5,IF(ISNUMBER(X197)=TRUE,X197*1.79+Z197*1.8+50000*(10^-L49)-Q49,Z197*1.8+50000*(10^-L49)-Q49))</f>
        <v>-59.999025077700118</v>
      </c>
      <c r="W49" s="3">
        <v>0.222</v>
      </c>
      <c r="X49" s="3">
        <v>0.05</v>
      </c>
      <c r="Y49" s="3">
        <v>0.3</v>
      </c>
      <c r="Z49" s="3">
        <v>0.125</v>
      </c>
      <c r="AA49" s="4">
        <v>149.59</v>
      </c>
      <c r="AB49" s="3">
        <v>55.95</v>
      </c>
      <c r="AC49" s="8">
        <v>16.11</v>
      </c>
      <c r="AD49" s="8">
        <v>12.9</v>
      </c>
      <c r="AE49" s="3">
        <v>2.2999999999999998</v>
      </c>
      <c r="AF49" s="3">
        <v>10.6</v>
      </c>
      <c r="AG49" s="2">
        <v>0.05</v>
      </c>
      <c r="AH49" s="2">
        <v>0.03</v>
      </c>
      <c r="AI49" s="3">
        <v>0.2</v>
      </c>
      <c r="AQ49" s="13"/>
      <c r="AR49" s="13"/>
    </row>
    <row r="50" spans="1:48" x14ac:dyDescent="0.3">
      <c r="A50" s="5">
        <v>45098</v>
      </c>
      <c r="B50" s="12" t="s">
        <v>267</v>
      </c>
      <c r="C50" t="s">
        <v>51</v>
      </c>
      <c r="E50" t="s">
        <v>112</v>
      </c>
      <c r="F50" s="11">
        <v>40.69773</v>
      </c>
      <c r="G50" s="11">
        <v>-78.958299999999994</v>
      </c>
      <c r="H50" t="s">
        <v>241</v>
      </c>
      <c r="I50" s="2">
        <v>10.16</v>
      </c>
      <c r="J50" s="1" t="s">
        <v>219</v>
      </c>
      <c r="L50" s="2">
        <v>7.56</v>
      </c>
      <c r="M50" s="2">
        <v>6.5</v>
      </c>
      <c r="N50" s="1">
        <v>473</v>
      </c>
      <c r="O50" s="1">
        <v>446</v>
      </c>
      <c r="P50" s="3">
        <v>15</v>
      </c>
      <c r="Q50" s="4">
        <v>55</v>
      </c>
      <c r="R50" s="4">
        <v>66</v>
      </c>
      <c r="S50" s="4">
        <v>-54.6</v>
      </c>
      <c r="T50" s="4" cm="1">
        <f t="array" ref="T50">_xlfn.IFS(L50&lt;=5,IF(ISNUMBER(X50)=TRUE,X50*1.79+Z50*1.8+Y50*5.56+50000*(10^-L50)-Q50,1.79+Z50*1.8+Y50*5.56+50000*(10^-L50)-Q50),L50&gt;5,IF(ISNUMBER(X50)=TRUE,X50*1.79+Z50*1.8+50000*(10^-L50)-Q50,Z50*1.8+50000*(10^-L50)-Q50))</f>
        <v>-54.626602885648332</v>
      </c>
      <c r="W50" s="3">
        <v>0.14099999999999999</v>
      </c>
      <c r="X50" s="3">
        <v>5.8000000000000003E-2</v>
      </c>
      <c r="Y50" s="3">
        <v>0.3</v>
      </c>
      <c r="Z50" s="3">
        <v>0.14899999999999999</v>
      </c>
      <c r="AA50" s="4">
        <v>142.5</v>
      </c>
      <c r="AB50" s="3">
        <v>55.05</v>
      </c>
      <c r="AC50" s="8">
        <v>15.1</v>
      </c>
      <c r="AD50" s="8">
        <v>11.82</v>
      </c>
      <c r="AE50" s="3">
        <v>2.06</v>
      </c>
      <c r="AF50" s="3">
        <v>9.9</v>
      </c>
      <c r="AG50" s="2">
        <v>0.05</v>
      </c>
      <c r="AH50" s="2">
        <v>0.03</v>
      </c>
      <c r="AI50" s="3">
        <v>0.2</v>
      </c>
      <c r="AQ50" s="13"/>
      <c r="AR50" s="13"/>
    </row>
    <row r="51" spans="1:48" x14ac:dyDescent="0.3">
      <c r="F51" s="11"/>
      <c r="G51" s="11"/>
      <c r="AC51" s="8"/>
      <c r="AD51" s="8"/>
      <c r="AQ51" s="13"/>
      <c r="AR51" s="13"/>
    </row>
    <row r="52" spans="1:48" x14ac:dyDescent="0.3">
      <c r="A52" s="5">
        <v>45169</v>
      </c>
      <c r="B52" s="12" t="s">
        <v>18</v>
      </c>
      <c r="C52" t="s">
        <v>146</v>
      </c>
      <c r="D52">
        <v>60149</v>
      </c>
      <c r="E52" t="s">
        <v>21</v>
      </c>
      <c r="F52" s="11">
        <v>40.645299999999999</v>
      </c>
      <c r="G52" s="11">
        <v>-79.036760000000001</v>
      </c>
      <c r="H52" t="s">
        <v>256</v>
      </c>
      <c r="I52" s="2">
        <v>0.7</v>
      </c>
      <c r="J52" s="1">
        <v>22148</v>
      </c>
      <c r="K52" t="s">
        <v>96</v>
      </c>
      <c r="L52" s="2">
        <v>7.57</v>
      </c>
      <c r="M52" s="2">
        <v>6.6</v>
      </c>
      <c r="N52" s="1">
        <v>381</v>
      </c>
      <c r="O52" s="1">
        <v>373</v>
      </c>
      <c r="R52" s="40">
        <v>56.4</v>
      </c>
      <c r="S52" s="6">
        <v>-39</v>
      </c>
      <c r="T52" s="6"/>
      <c r="U52" s="6"/>
      <c r="V52" s="6"/>
      <c r="W52" s="8">
        <v>1.22</v>
      </c>
      <c r="X52" s="8">
        <v>0.191</v>
      </c>
      <c r="Y52" s="8">
        <v>0.96699999999999997</v>
      </c>
      <c r="Z52" s="8">
        <v>0.29399999999999998</v>
      </c>
      <c r="AA52" s="40">
        <v>109.85</v>
      </c>
      <c r="AB52" s="6">
        <v>39.799999999999997</v>
      </c>
      <c r="AC52" s="6">
        <v>11.7</v>
      </c>
      <c r="AD52" s="6">
        <v>17.2</v>
      </c>
      <c r="AE52" s="6">
        <v>1.89</v>
      </c>
      <c r="AF52" s="6">
        <v>8.8000000000000007</v>
      </c>
      <c r="AG52" s="6">
        <v>0.05</v>
      </c>
      <c r="AH52" s="41">
        <v>0.03</v>
      </c>
      <c r="AI52" s="6">
        <v>0.2</v>
      </c>
      <c r="AQ52" s="13"/>
      <c r="AR52" s="13"/>
    </row>
    <row r="53" spans="1:48" x14ac:dyDescent="0.3">
      <c r="A53" s="5">
        <v>45169</v>
      </c>
      <c r="B53" s="12" t="s">
        <v>274</v>
      </c>
      <c r="C53" t="s">
        <v>25</v>
      </c>
      <c r="E53" t="s">
        <v>26</v>
      </c>
      <c r="F53" s="11">
        <v>40.658344</v>
      </c>
      <c r="G53" s="11">
        <v>-79.024439000000001</v>
      </c>
      <c r="H53" t="s">
        <v>241</v>
      </c>
      <c r="I53" s="2">
        <v>2</v>
      </c>
      <c r="J53" s="1" t="s">
        <v>219</v>
      </c>
      <c r="L53" s="2">
        <v>7.8</v>
      </c>
      <c r="M53" s="2">
        <v>6.6</v>
      </c>
      <c r="N53" s="1">
        <v>370</v>
      </c>
      <c r="O53" s="1">
        <v>381</v>
      </c>
      <c r="P53" s="3">
        <v>16.899999999999999</v>
      </c>
      <c r="Q53" s="4">
        <v>60</v>
      </c>
      <c r="R53" s="6">
        <v>58.4</v>
      </c>
      <c r="S53" s="40">
        <v>-44.2</v>
      </c>
      <c r="T53" s="4">
        <v>-63</v>
      </c>
      <c r="U53" s="6"/>
      <c r="V53" s="6"/>
      <c r="W53" s="8">
        <v>0.20799999999999999</v>
      </c>
      <c r="X53" s="8">
        <v>0.05</v>
      </c>
      <c r="Y53" s="8">
        <v>1.35</v>
      </c>
      <c r="Z53" s="8">
        <v>0.34300000000000003</v>
      </c>
      <c r="AA53" s="40">
        <v>117.68</v>
      </c>
      <c r="AB53" s="6">
        <v>40.299999999999997</v>
      </c>
      <c r="AC53" s="6">
        <v>11.9</v>
      </c>
      <c r="AD53" s="6">
        <v>16.7</v>
      </c>
      <c r="AE53" s="6">
        <v>1.93</v>
      </c>
      <c r="AF53" s="8">
        <v>8</v>
      </c>
      <c r="AG53" s="6">
        <v>0.05</v>
      </c>
      <c r="AH53" s="41">
        <v>0.03</v>
      </c>
      <c r="AI53" s="6">
        <v>0.2</v>
      </c>
      <c r="AQ53" s="13"/>
      <c r="AR53" s="13"/>
    </row>
    <row r="54" spans="1:48" x14ac:dyDescent="0.3">
      <c r="A54" s="5">
        <v>45169</v>
      </c>
      <c r="B54" s="12" t="s">
        <v>273</v>
      </c>
      <c r="C54" t="s">
        <v>30</v>
      </c>
      <c r="E54" t="s">
        <v>31</v>
      </c>
      <c r="F54" s="11"/>
      <c r="G54" s="11"/>
      <c r="H54" t="s">
        <v>241</v>
      </c>
      <c r="I54" s="2">
        <v>2.95</v>
      </c>
      <c r="L54" s="2">
        <v>8.0500000000000007</v>
      </c>
      <c r="M54" s="2">
        <v>6.7</v>
      </c>
      <c r="N54" s="1">
        <v>317</v>
      </c>
      <c r="O54" s="1">
        <v>322</v>
      </c>
      <c r="P54" s="3">
        <v>17.899999999999999</v>
      </c>
      <c r="Q54" s="4">
        <v>70</v>
      </c>
      <c r="R54" s="4">
        <v>65.2</v>
      </c>
      <c r="S54" s="4">
        <v>-55.8</v>
      </c>
      <c r="T54" s="4" cm="1">
        <f t="array" ref="T54">_xlfn.IFS(L54&lt;=5,IF(ISNUMBER(X54)=TRUE,X54*1.79+Z54*1.8+Y54*5.56+50000*(10^-L54)-Q54,1.79+Z54*1.8+Y54*5.56+50000*(10^-L54)-Q54),L54&gt;5,IF(ISNUMBER(X54)=TRUE,X54*1.79+Z54*1.8+50000*(10^-L54)-Q54,Z54*1.8+50000*(10^-L54)-Q54))</f>
        <v>-69.694054374530936</v>
      </c>
      <c r="W54" s="3">
        <v>0.80400000000000005</v>
      </c>
      <c r="X54" s="3">
        <v>0.05</v>
      </c>
      <c r="Y54" s="3">
        <v>0.45400000000000001</v>
      </c>
      <c r="Z54" s="3">
        <v>0.12</v>
      </c>
      <c r="AA54" s="4">
        <v>78.709999999999994</v>
      </c>
      <c r="AB54" s="6">
        <v>31.3</v>
      </c>
      <c r="AC54" s="6">
        <v>8.59</v>
      </c>
      <c r="AD54" s="6">
        <v>18.399999999999999</v>
      </c>
      <c r="AE54" s="6">
        <v>1.75</v>
      </c>
      <c r="AF54" s="6">
        <v>8.6</v>
      </c>
      <c r="AG54" s="2">
        <v>0.05</v>
      </c>
      <c r="AH54" s="2">
        <v>0.03</v>
      </c>
      <c r="AI54" s="3">
        <v>0.2</v>
      </c>
      <c r="AQ54" s="13"/>
      <c r="AR54" s="13"/>
    </row>
    <row r="55" spans="1:48" x14ac:dyDescent="0.3">
      <c r="A55" s="5">
        <v>45169</v>
      </c>
      <c r="B55" s="12" t="s">
        <v>272</v>
      </c>
      <c r="C55" t="s">
        <v>35</v>
      </c>
      <c r="E55" t="s">
        <v>36</v>
      </c>
      <c r="F55" s="11">
        <v>40.672021999999998</v>
      </c>
      <c r="G55" s="11">
        <v>-79.002600000000001</v>
      </c>
      <c r="H55" t="s">
        <v>241</v>
      </c>
      <c r="I55" s="2">
        <v>3.7</v>
      </c>
      <c r="J55" s="1" t="s">
        <v>219</v>
      </c>
      <c r="L55" s="2">
        <v>7.76</v>
      </c>
      <c r="M55" s="2">
        <v>6.7</v>
      </c>
      <c r="N55" s="1">
        <v>317</v>
      </c>
      <c r="O55" s="1">
        <v>321</v>
      </c>
      <c r="P55" s="3">
        <v>17.7</v>
      </c>
      <c r="Q55" s="4">
        <v>68</v>
      </c>
      <c r="R55" s="4">
        <v>65.400000000000006</v>
      </c>
      <c r="S55" s="4">
        <v>-57.6</v>
      </c>
      <c r="T55" s="4" cm="1">
        <f t="array" ref="T55">_xlfn.IFS(L55&lt;=5,IF(ISNUMBER(X55)=TRUE,X55*1.79+Z55*1.8+Y55*5.56+50000*(10^-L55)-Q55,1.79+Z55*1.8+Y55*5.56+50000*(10^-L55)-Q55),L55&gt;5,IF(ISNUMBER(X55)=TRUE,X55*1.79+Z55*1.8+50000*(10^-L55)-Q55,Z55*1.8+50000*(10^-L55)-Q55))</f>
        <v>-67.648761099585627</v>
      </c>
      <c r="W55" s="3">
        <v>1.01</v>
      </c>
      <c r="X55" s="3">
        <v>6.3E-2</v>
      </c>
      <c r="Y55" s="3">
        <v>0.46500000000000002</v>
      </c>
      <c r="Z55" s="3">
        <v>0.13200000000000001</v>
      </c>
      <c r="AA55" s="4">
        <v>75.430000000000007</v>
      </c>
      <c r="AB55" s="6">
        <v>31.7</v>
      </c>
      <c r="AC55" s="6">
        <v>8.5500000000000007</v>
      </c>
      <c r="AD55" s="6">
        <v>19.600000000000001</v>
      </c>
      <c r="AE55" s="6">
        <v>1.77</v>
      </c>
      <c r="AF55" s="6">
        <v>8.1999999999999993</v>
      </c>
      <c r="AG55" s="2">
        <v>0.05</v>
      </c>
      <c r="AH55" s="2">
        <v>0.03</v>
      </c>
      <c r="AI55" s="3">
        <v>0.2</v>
      </c>
      <c r="AQ55" s="13"/>
      <c r="AR55" s="13"/>
    </row>
    <row r="56" spans="1:48" x14ac:dyDescent="0.3">
      <c r="A56" s="5">
        <v>45169</v>
      </c>
      <c r="B56" s="12" t="s">
        <v>270</v>
      </c>
      <c r="C56" t="s">
        <v>41</v>
      </c>
      <c r="E56" t="s">
        <v>42</v>
      </c>
      <c r="F56" s="11">
        <v>40.657780000000002</v>
      </c>
      <c r="G56" s="11">
        <v>-78.975070000000002</v>
      </c>
      <c r="H56" t="s">
        <v>241</v>
      </c>
      <c r="I56" s="2">
        <v>5.95</v>
      </c>
      <c r="J56" s="1" t="s">
        <v>219</v>
      </c>
      <c r="L56" s="2">
        <v>7.64</v>
      </c>
      <c r="M56" s="2">
        <v>6.8</v>
      </c>
      <c r="N56" s="1">
        <v>281</v>
      </c>
      <c r="O56" s="1">
        <v>289</v>
      </c>
      <c r="P56" s="3">
        <v>15.7</v>
      </c>
      <c r="Q56" s="4">
        <f>71.5</f>
        <v>71.5</v>
      </c>
      <c r="R56" s="4">
        <v>70.400000000000006</v>
      </c>
      <c r="S56" s="4">
        <v>-63.4</v>
      </c>
      <c r="T56" s="4" cm="1">
        <f t="array" ref="T56">_xlfn.IFS(L56&lt;=5,IF(ISNUMBER(X56)=TRUE,X56*1.79+Z56*1.8+Y56*5.56+50000*(10^-L56)-R56,1.79+Z56*1.8+Y56*5.56+50000*(10^-L56)-R56),L56&gt;5,IF(ISNUMBER(X56)=TRUE,X56*1.79+Z56*1.8+50000*(10^-L56)-R56,Z56*1.8+50000*(10^-L56)-R56))</f>
        <v>-70.179754566173628</v>
      </c>
      <c r="W56" s="3">
        <v>0.54200000000000004</v>
      </c>
      <c r="X56" s="3">
        <v>0.05</v>
      </c>
      <c r="Y56" s="3">
        <v>0.439</v>
      </c>
      <c r="Z56" s="3">
        <v>7.1999999999999995E-2</v>
      </c>
      <c r="AA56" s="4">
        <v>58.32</v>
      </c>
      <c r="AB56" s="6">
        <v>26.9</v>
      </c>
      <c r="AC56" s="6">
        <v>7.52</v>
      </c>
      <c r="AD56" s="6">
        <v>18.7</v>
      </c>
      <c r="AE56" s="8">
        <v>1.62</v>
      </c>
      <c r="AF56" s="6">
        <v>8.6999999999999993</v>
      </c>
      <c r="AG56" s="2">
        <v>0.05</v>
      </c>
      <c r="AH56" s="2">
        <v>0.03</v>
      </c>
      <c r="AI56" s="3">
        <v>0.2</v>
      </c>
      <c r="AQ56" s="13"/>
      <c r="AR56" s="13"/>
    </row>
    <row r="57" spans="1:48" x14ac:dyDescent="0.3">
      <c r="A57" s="5">
        <v>45169</v>
      </c>
      <c r="B57" s="12" t="s">
        <v>269</v>
      </c>
      <c r="C57" t="s">
        <v>44</v>
      </c>
      <c r="E57" t="s">
        <v>45</v>
      </c>
      <c r="F57" s="11">
        <v>40.66272</v>
      </c>
      <c r="G57" s="11">
        <v>-78.968819999999994</v>
      </c>
      <c r="H57" t="s">
        <v>241</v>
      </c>
      <c r="I57" s="2">
        <v>6.9</v>
      </c>
      <c r="J57" s="1" t="s">
        <v>219</v>
      </c>
      <c r="L57" s="2">
        <v>8.0500000000000007</v>
      </c>
      <c r="M57" s="2">
        <v>6.8</v>
      </c>
      <c r="N57" s="1">
        <v>295</v>
      </c>
      <c r="O57" s="6">
        <v>300</v>
      </c>
      <c r="P57" s="3">
        <v>15.5</v>
      </c>
      <c r="Q57" s="4">
        <v>82</v>
      </c>
      <c r="R57" s="40">
        <v>79.2</v>
      </c>
      <c r="S57" s="40">
        <v>-72.599999999999994</v>
      </c>
      <c r="T57" s="4" cm="1">
        <f t="array" ref="T57">_xlfn.IFS(L57&lt;=5,IF(ISNUMBER(X57)=TRUE,X57*1.79+Z57*1.8+Y57*5.56+50000*(10^-L57)-Q57,1.79+Z57*1.8+Y57*5.56+50000*(10^-L57)-Q57),L57&gt;5,IF(ISNUMBER(X57)=TRUE,X57*1.79+Z57*1.8+50000*(10^-L57)-Q57,Z57*1.8+50000*(10^-L57)-Q57))</f>
        <v>-81.80205437453094</v>
      </c>
      <c r="W57" s="3">
        <v>0.254</v>
      </c>
      <c r="X57" s="3">
        <v>0.05</v>
      </c>
      <c r="Y57" s="3">
        <v>0.3</v>
      </c>
      <c r="Z57" s="3">
        <v>0.06</v>
      </c>
      <c r="AA57" s="4">
        <v>55.66</v>
      </c>
      <c r="AB57" s="6">
        <v>28.1</v>
      </c>
      <c r="AC57" s="8">
        <v>7.69</v>
      </c>
      <c r="AD57" s="6">
        <v>21.6</v>
      </c>
      <c r="AE57" s="6">
        <v>1.68</v>
      </c>
      <c r="AF57" s="6">
        <v>8.5</v>
      </c>
      <c r="AG57" s="2">
        <v>0.05</v>
      </c>
      <c r="AH57" s="2">
        <v>0.03</v>
      </c>
      <c r="AI57" s="3">
        <v>0.2</v>
      </c>
      <c r="AQ57" s="13"/>
      <c r="AR57" s="13"/>
    </row>
    <row r="58" spans="1:48" x14ac:dyDescent="0.3">
      <c r="A58" s="5">
        <v>45169</v>
      </c>
      <c r="B58" s="12" t="s">
        <v>266</v>
      </c>
      <c r="C58" t="s">
        <v>49</v>
      </c>
      <c r="E58" t="s">
        <v>602</v>
      </c>
      <c r="F58" s="11">
        <v>40.67557</v>
      </c>
      <c r="G58" s="11">
        <v>-78.963009999999997</v>
      </c>
      <c r="H58" t="s">
        <v>241</v>
      </c>
      <c r="I58" s="2">
        <v>8.39</v>
      </c>
      <c r="J58" s="1" t="s">
        <v>219</v>
      </c>
      <c r="L58" s="2">
        <v>7.62</v>
      </c>
      <c r="M58" s="41">
        <v>6.5</v>
      </c>
      <c r="N58" s="1">
        <v>367</v>
      </c>
      <c r="O58" s="1">
        <v>348</v>
      </c>
      <c r="P58" s="3">
        <v>14.1</v>
      </c>
      <c r="Q58" s="4">
        <v>54</v>
      </c>
      <c r="R58" s="4">
        <v>54.2</v>
      </c>
      <c r="S58" s="4">
        <v>-47</v>
      </c>
      <c r="W58" s="3">
        <v>0.374</v>
      </c>
      <c r="X58" s="3">
        <v>0.06</v>
      </c>
      <c r="Y58" s="3">
        <v>0.3</v>
      </c>
      <c r="Z58" s="3">
        <v>0.14099999999999999</v>
      </c>
      <c r="AA58" s="4">
        <v>99.83</v>
      </c>
      <c r="AB58" s="3">
        <v>41.7</v>
      </c>
      <c r="AC58" s="8">
        <v>9.4700000000000006</v>
      </c>
      <c r="AD58" s="8">
        <v>11.3</v>
      </c>
      <c r="AE58" s="3">
        <v>1.88</v>
      </c>
      <c r="AF58" s="3">
        <v>8.5</v>
      </c>
      <c r="AG58" s="2">
        <v>0.05</v>
      </c>
      <c r="AH58" s="2">
        <v>0.03</v>
      </c>
      <c r="AI58" s="3">
        <v>0.2</v>
      </c>
      <c r="AQ58" s="13"/>
      <c r="AR58" s="13"/>
    </row>
    <row r="59" spans="1:48" x14ac:dyDescent="0.3">
      <c r="A59" s="5">
        <v>45169</v>
      </c>
      <c r="B59" s="12" t="s">
        <v>267</v>
      </c>
      <c r="C59" t="s">
        <v>51</v>
      </c>
      <c r="E59" t="s">
        <v>112</v>
      </c>
      <c r="F59" s="11">
        <v>40.69773</v>
      </c>
      <c r="G59" s="11">
        <v>-78.958299999999994</v>
      </c>
      <c r="H59" t="s">
        <v>241</v>
      </c>
      <c r="I59" s="2">
        <v>10.16</v>
      </c>
      <c r="J59" s="1" t="s">
        <v>219</v>
      </c>
      <c r="L59" s="2">
        <v>7.62</v>
      </c>
      <c r="M59" s="43">
        <v>6.5</v>
      </c>
      <c r="N59" s="1">
        <v>335</v>
      </c>
      <c r="O59" s="1">
        <v>334</v>
      </c>
      <c r="P59" s="3">
        <v>13.9</v>
      </c>
      <c r="Q59" s="4">
        <v>55</v>
      </c>
      <c r="R59" s="4">
        <v>54.2</v>
      </c>
      <c r="S59" s="4">
        <v>-47.2</v>
      </c>
      <c r="W59" s="3">
        <v>0.80900000000000005</v>
      </c>
      <c r="X59" s="3">
        <v>7.0000000000000007E-2</v>
      </c>
      <c r="Y59" s="3">
        <v>0.622</v>
      </c>
      <c r="Z59" s="3">
        <v>0.19600000000000001</v>
      </c>
      <c r="AA59" s="4">
        <v>91.33</v>
      </c>
      <c r="AB59" s="3">
        <v>39.799999999999997</v>
      </c>
      <c r="AC59">
        <v>10.4</v>
      </c>
      <c r="AD59" s="3">
        <v>9.34</v>
      </c>
      <c r="AE59" s="31">
        <v>1.85</v>
      </c>
      <c r="AF59" s="3">
        <v>8.9</v>
      </c>
      <c r="AG59" s="43">
        <v>0.05</v>
      </c>
      <c r="AH59" s="2">
        <v>0.03</v>
      </c>
      <c r="AI59" s="3">
        <v>0.2</v>
      </c>
      <c r="AQ59" s="13"/>
      <c r="AR59" s="13"/>
    </row>
    <row r="60" spans="1:48" x14ac:dyDescent="0.3">
      <c r="F60" s="11"/>
      <c r="G60" s="11"/>
      <c r="M60" s="43"/>
      <c r="AC60"/>
      <c r="AE60" s="31"/>
      <c r="AG60" s="43"/>
      <c r="AQ60" s="13"/>
      <c r="AR60" s="13"/>
    </row>
    <row r="61" spans="1:48" x14ac:dyDescent="0.3">
      <c r="A61" s="5">
        <v>45527</v>
      </c>
      <c r="B61" s="12" t="s">
        <v>50</v>
      </c>
      <c r="C61" t="s">
        <v>41</v>
      </c>
      <c r="E61" t="s">
        <v>42</v>
      </c>
      <c r="F61" s="11">
        <v>40.657780000000002</v>
      </c>
      <c r="G61" s="11">
        <v>-78.975070000000002</v>
      </c>
      <c r="H61" t="s">
        <v>218</v>
      </c>
      <c r="I61" s="2">
        <v>5.95</v>
      </c>
      <c r="J61" s="1">
        <f>'Chemical Data'!J165</f>
        <v>7293</v>
      </c>
      <c r="K61" s="1" t="str">
        <f>'Chemical Data'!K165</f>
        <v>M</v>
      </c>
      <c r="L61" s="43">
        <f>'Chemical Data'!L165</f>
        <v>7.03</v>
      </c>
      <c r="M61" s="43">
        <f>'Chemical Data'!M165</f>
        <v>7.4</v>
      </c>
      <c r="N61" s="1">
        <f>'Chemical Data'!N165</f>
        <v>377</v>
      </c>
      <c r="O61" s="43"/>
      <c r="P61" s="43"/>
      <c r="Q61" s="43"/>
      <c r="R61" s="1">
        <f>'Chemical Data'!R165</f>
        <v>95.4</v>
      </c>
      <c r="S61" s="1">
        <f>'Chemical Data'!S165</f>
        <v>-78.8</v>
      </c>
      <c r="T61" s="43">
        <f>'Chemical Data'!T165</f>
        <v>-95.002363728496022</v>
      </c>
      <c r="U61" s="43"/>
      <c r="V61" s="43"/>
      <c r="W61" s="31">
        <f>'Chemical Data'!W165</f>
        <v>0.92400000000000004</v>
      </c>
      <c r="X61" s="31">
        <f>'Chemical Data'!X165</f>
        <v>0.123</v>
      </c>
      <c r="Y61" s="31">
        <f>'Chemical Data'!Z165</f>
        <v>0.5</v>
      </c>
      <c r="Z61" s="31">
        <f>'Chemical Data'!AA165</f>
        <v>9.6000000000000002E-2</v>
      </c>
      <c r="AA61" s="31">
        <f>'Chemical Data'!AB165</f>
        <v>93.3</v>
      </c>
      <c r="AB61" s="43"/>
      <c r="AC61" s="43"/>
      <c r="AD61" s="43"/>
      <c r="AE61" s="43"/>
      <c r="AF61" s="43"/>
      <c r="AG61" s="43"/>
      <c r="AH61" s="43"/>
      <c r="AI61" s="43"/>
      <c r="AJ61" s="43"/>
      <c r="AK61" s="1">
        <f>'Chemical Data'!AN165</f>
        <v>-6896.2608</v>
      </c>
      <c r="AL61" s="1">
        <f>'Chemical Data'!AO165</f>
        <v>80.864784</v>
      </c>
      <c r="AM61" s="1">
        <f>'Chemical Data'!AP165</f>
        <v>43.758000000000003</v>
      </c>
      <c r="AN61" s="1">
        <f>'Chemical Data'!AQ165</f>
        <v>8.4015360000000001</v>
      </c>
      <c r="AO61" s="1">
        <f>'Chemical Data'!AR165</f>
        <v>8165.2428000000009</v>
      </c>
    </row>
    <row r="62" spans="1:48" x14ac:dyDescent="0.3">
      <c r="A62" s="5">
        <v>45527</v>
      </c>
      <c r="B62" s="12" t="s">
        <v>65</v>
      </c>
      <c r="C62" t="s">
        <v>35</v>
      </c>
      <c r="E62" t="s">
        <v>36</v>
      </c>
      <c r="F62" s="11" t="s">
        <v>373</v>
      </c>
      <c r="G62" s="11"/>
      <c r="H62" t="s">
        <v>371</v>
      </c>
      <c r="I62" s="2">
        <v>3.7</v>
      </c>
      <c r="J62" s="1">
        <v>6957.2550000000001</v>
      </c>
      <c r="K62" t="s">
        <v>96</v>
      </c>
      <c r="L62" s="2">
        <v>7.15</v>
      </c>
      <c r="M62" s="43">
        <v>7.1</v>
      </c>
      <c r="N62" s="1">
        <v>453</v>
      </c>
      <c r="P62" s="3">
        <v>14.7</v>
      </c>
      <c r="Q62" s="4">
        <v>101.5</v>
      </c>
      <c r="R62" s="4">
        <v>83.8</v>
      </c>
      <c r="S62" s="4">
        <v>-68.599999999999994</v>
      </c>
      <c r="T62" s="4">
        <v>-100.87164027107808</v>
      </c>
      <c r="W62" s="3">
        <v>1.7969999999999999</v>
      </c>
      <c r="X62" s="3">
        <v>0.158</v>
      </c>
      <c r="Y62" s="3">
        <v>0.57399999999999995</v>
      </c>
      <c r="Z62" s="3">
        <v>0.19</v>
      </c>
      <c r="AA62" s="4">
        <v>106.4</v>
      </c>
      <c r="AC62"/>
      <c r="AE62" s="31"/>
      <c r="AG62" s="43"/>
      <c r="AK62" s="1">
        <v>-5727.2123160000001</v>
      </c>
      <c r="AL62" s="1">
        <v>150.02624681999998</v>
      </c>
      <c r="AM62" s="1">
        <v>47.921572439999998</v>
      </c>
      <c r="AN62" s="4">
        <v>15.8625414</v>
      </c>
      <c r="AO62" s="107">
        <v>8883.0231839999997</v>
      </c>
      <c r="AP62" s="13"/>
    </row>
    <row r="64" spans="1:48" x14ac:dyDescent="0.3">
      <c r="A64" s="5">
        <v>45595</v>
      </c>
      <c r="B64" s="12" t="s">
        <v>43</v>
      </c>
      <c r="C64" t="s">
        <v>41</v>
      </c>
      <c r="E64" t="s">
        <v>42</v>
      </c>
      <c r="F64" s="11">
        <v>40.657780000000002</v>
      </c>
      <c r="G64" s="11">
        <v>-78.975070000000002</v>
      </c>
      <c r="H64" t="s">
        <v>218</v>
      </c>
      <c r="I64" s="2">
        <v>5.95</v>
      </c>
      <c r="J64" s="1">
        <v>2855.6400000000003</v>
      </c>
      <c r="K64" t="s">
        <v>96</v>
      </c>
      <c r="L64" s="2">
        <v>7.56</v>
      </c>
      <c r="M64" s="41">
        <v>7.9</v>
      </c>
      <c r="N64" s="1">
        <v>519</v>
      </c>
      <c r="O64"/>
      <c r="P64" s="6">
        <v>8.6999999999999993</v>
      </c>
      <c r="Q64" s="4">
        <v>160</v>
      </c>
      <c r="R64" s="40">
        <v>168.8</v>
      </c>
      <c r="S64" s="40">
        <v>-147.4</v>
      </c>
      <c r="T64" s="4">
        <v>-159.74034288564832</v>
      </c>
      <c r="U64"/>
      <c r="V64"/>
      <c r="W64" s="8">
        <v>0.628</v>
      </c>
      <c r="X64" s="3">
        <v>9.1999999999999998E-2</v>
      </c>
      <c r="Y64" s="3">
        <v>0.5</v>
      </c>
      <c r="Z64" s="8">
        <v>5.1999999999999998E-2</v>
      </c>
      <c r="AA64" s="40">
        <v>147.19999999999999</v>
      </c>
      <c r="AC64"/>
      <c r="AD64"/>
      <c r="AE64"/>
      <c r="AF64"/>
      <c r="AG64"/>
      <c r="AH64"/>
      <c r="AI64"/>
      <c r="AJ64"/>
      <c r="AK64" s="1">
        <v>-5051.0560320000013</v>
      </c>
      <c r="AL64" s="1">
        <v>21.520103040000006</v>
      </c>
      <c r="AM64" s="1">
        <v>17.133840000000003</v>
      </c>
      <c r="AN64" s="1">
        <v>1.7819193600000001</v>
      </c>
      <c r="AO64" s="1">
        <v>5044.2024960000008</v>
      </c>
      <c r="AP64" s="1"/>
      <c r="AV64" s="4"/>
    </row>
    <row r="65" spans="1:48" x14ac:dyDescent="0.3">
      <c r="A65" s="5">
        <v>45595</v>
      </c>
      <c r="C65" t="s">
        <v>35</v>
      </c>
      <c r="E65" t="s">
        <v>36</v>
      </c>
      <c r="F65" s="11" t="s">
        <v>373</v>
      </c>
      <c r="G65" s="11"/>
      <c r="H65" t="s">
        <v>245</v>
      </c>
      <c r="I65" s="2">
        <v>3.7</v>
      </c>
      <c r="J65" s="1">
        <v>3708.74</v>
      </c>
      <c r="K65" t="s">
        <v>96</v>
      </c>
      <c r="L65" s="2">
        <v>7.44</v>
      </c>
      <c r="M65" s="2">
        <v>6.9</v>
      </c>
      <c r="N65" s="1">
        <v>559</v>
      </c>
      <c r="P65" s="3">
        <v>9.9</v>
      </c>
      <c r="Q65" s="4">
        <v>127</v>
      </c>
      <c r="R65" s="4">
        <v>138</v>
      </c>
      <c r="S65" s="4">
        <v>-115.2</v>
      </c>
      <c r="T65" s="4">
        <v>-126.22076460972615</v>
      </c>
      <c r="W65" s="3">
        <v>2.21</v>
      </c>
      <c r="X65" s="3">
        <v>0.19800000000000001</v>
      </c>
      <c r="Y65" s="3">
        <v>0.628</v>
      </c>
      <c r="Z65" s="3">
        <v>0.23499999999999999</v>
      </c>
      <c r="AA65" s="4">
        <v>206</v>
      </c>
      <c r="AC65" s="6"/>
      <c r="AD65" s="6"/>
      <c r="AE65" s="6"/>
      <c r="AF65" s="6"/>
      <c r="AG65" s="6"/>
      <c r="AI65" s="2"/>
      <c r="AK65" s="1">
        <v>-5126.962176</v>
      </c>
      <c r="AL65" s="1">
        <v>98.355784799999995</v>
      </c>
      <c r="AM65" s="1">
        <v>27.949064639999996</v>
      </c>
      <c r="AN65" s="1">
        <v>10.458646799999999</v>
      </c>
      <c r="AO65" s="1">
        <v>9168.0052799999994</v>
      </c>
      <c r="AP65" s="1"/>
      <c r="AR65" s="13"/>
      <c r="AS65" s="13"/>
      <c r="AV65" s="4"/>
    </row>
    <row r="66" spans="1:48" x14ac:dyDescent="0.3">
      <c r="F66" s="11"/>
      <c r="G66" s="11"/>
      <c r="M66" s="43"/>
      <c r="AC66"/>
      <c r="AE66" s="31"/>
      <c r="AG66" s="43"/>
      <c r="AN66" s="4"/>
      <c r="AO66" s="107"/>
      <c r="AP66" s="13"/>
    </row>
    <row r="67" spans="1:48" x14ac:dyDescent="0.3">
      <c r="A67" s="5" t="s">
        <v>243</v>
      </c>
      <c r="C67" t="s">
        <v>309</v>
      </c>
      <c r="E67" t="s">
        <v>21</v>
      </c>
      <c r="J67" s="87">
        <f t="shared" ref="J67" si="17">AVERAGE(J7,J16,J25,J34,J43,J52)</f>
        <v>17606.5</v>
      </c>
      <c r="K67" s="2"/>
      <c r="L67" s="2">
        <f>AVERAGE(L7,L16,L25,L34,L43,L52)</f>
        <v>7.5100000000000007</v>
      </c>
      <c r="M67" s="2">
        <f t="shared" ref="M67" si="18">AVERAGE(M7,M16,M25,M34,M43,M52)</f>
        <v>7.0166666666666666</v>
      </c>
      <c r="N67" s="2">
        <f t="shared" ref="N67" si="19">AVERAGE(N7,N16,N25,N34,N43,N52)</f>
        <v>383.91666666666669</v>
      </c>
      <c r="O67" s="2">
        <f t="shared" ref="O67" si="20">AVERAGE(O7,O16,O25,O34,O43,O52)</f>
        <v>383.83333333333331</v>
      </c>
      <c r="Q67" s="4">
        <f t="shared" ref="Q67:T67" si="21">AVERAGE(Q7,Q16,Q25,Q34,Q43,Q52)</f>
        <v>53.25</v>
      </c>
      <c r="R67" s="4">
        <f t="shared" si="21"/>
        <v>58.466666666666661</v>
      </c>
      <c r="S67" s="4">
        <f t="shared" si="21"/>
        <v>-45.699999999999996</v>
      </c>
      <c r="T67" s="4">
        <f t="shared" si="21"/>
        <v>-54.940240497520442</v>
      </c>
      <c r="W67" s="3">
        <f>AVERAGE(W7,W16,W25,W34,W43,W52)</f>
        <v>1.1079999999999999</v>
      </c>
      <c r="X67" s="3">
        <f>AVERAGE(X7,X16,X25,X34,X43,X52)</f>
        <v>0.15500000000000003</v>
      </c>
      <c r="Y67" s="2">
        <f t="shared" ref="Y67:Y74" si="22">AVERAGE(Y7,Y16,Y25,Y34,Y43,Y52)</f>
        <v>0.81016666666666659</v>
      </c>
      <c r="Z67" s="3">
        <f t="shared" ref="Z67:AA67" si="23">AVERAGE(Z7,Z16,Z25,Z34,Z43,Z52)</f>
        <v>0.26450000000000001</v>
      </c>
      <c r="AA67" s="4">
        <f t="shared" si="23"/>
        <v>120.98599999999999</v>
      </c>
    </row>
    <row r="68" spans="1:48" x14ac:dyDescent="0.3">
      <c r="A68" s="5" t="s">
        <v>243</v>
      </c>
      <c r="C68" t="s">
        <v>25</v>
      </c>
      <c r="E68" t="s">
        <v>26</v>
      </c>
      <c r="F68" s="11"/>
      <c r="G68" s="11"/>
      <c r="J68" s="87">
        <f t="shared" ref="J68:L74" si="24">AVERAGE(J8,J17,J26,J35,J44,J53)</f>
        <v>20180</v>
      </c>
      <c r="K68" s="2"/>
      <c r="L68" s="2">
        <f t="shared" si="24"/>
        <v>7.461666666666666</v>
      </c>
      <c r="M68" s="2">
        <f t="shared" ref="M68:O74" si="25">AVERAGE(M8,M17,M26,M35,M44,M53)</f>
        <v>7.0166666666666666</v>
      </c>
      <c r="N68" s="2">
        <f t="shared" si="25"/>
        <v>372.68333333333334</v>
      </c>
      <c r="O68" s="2">
        <f t="shared" si="25"/>
        <v>380.83333333333331</v>
      </c>
      <c r="Q68" s="4">
        <f t="shared" ref="Q68:T74" si="26">AVERAGE(Q8,Q17,Q26,Q35,Q44,Q53)</f>
        <v>63.116666666666667</v>
      </c>
      <c r="R68" s="4">
        <f t="shared" si="26"/>
        <v>61.766666666666673</v>
      </c>
      <c r="S68" s="4">
        <f t="shared" si="26"/>
        <v>-48.699999999999996</v>
      </c>
      <c r="T68" s="4">
        <f t="shared" si="26"/>
        <v>-63.015832637245843</v>
      </c>
      <c r="W68" s="3">
        <f t="shared" ref="W68:X74" si="27">AVERAGE(W8,W17,W26,W35,W44,W53)</f>
        <v>1.0203333333333333</v>
      </c>
      <c r="X68" s="3">
        <f t="shared" si="27"/>
        <v>0.13150000000000003</v>
      </c>
      <c r="Y68" s="2">
        <f>AVERAGE(Y8,Y17,Y26,Y35,Y44,Y53)</f>
        <v>0.84933333333333338</v>
      </c>
      <c r="Z68" s="3">
        <f t="shared" ref="Z68:AA74" si="28">AVERAGE(Z8,Z17,Z26,Z35,Z44,Z53)</f>
        <v>0.26683333333333331</v>
      </c>
      <c r="AA68" s="4">
        <f t="shared" si="28"/>
        <v>121.244</v>
      </c>
      <c r="AC68" s="8"/>
      <c r="AD68" s="8"/>
      <c r="AQ68" s="13"/>
      <c r="AR68" s="13"/>
    </row>
    <row r="69" spans="1:48" x14ac:dyDescent="0.3">
      <c r="A69" s="5" t="s">
        <v>243</v>
      </c>
      <c r="C69" t="s">
        <v>30</v>
      </c>
      <c r="E69" t="s">
        <v>31</v>
      </c>
      <c r="F69" s="11"/>
      <c r="G69" s="11"/>
      <c r="J69" s="87">
        <f>AVERAGE(J9,J18,J27,J36,J45,J54)</f>
        <v>15540</v>
      </c>
      <c r="K69" s="2"/>
      <c r="L69" s="2">
        <f t="shared" si="24"/>
        <v>7.7600000000000007</v>
      </c>
      <c r="M69" s="2">
        <f t="shared" si="25"/>
        <v>7.0500000000000007</v>
      </c>
      <c r="N69" s="2">
        <f t="shared" si="25"/>
        <v>327.65000000000003</v>
      </c>
      <c r="O69" s="2">
        <f t="shared" si="25"/>
        <v>337</v>
      </c>
      <c r="Q69" s="4">
        <f t="shared" si="26"/>
        <v>72.099999999999994</v>
      </c>
      <c r="R69" s="4">
        <f t="shared" si="26"/>
        <v>68.400000000000006</v>
      </c>
      <c r="S69" s="4">
        <f t="shared" si="26"/>
        <v>-55.666666666666664</v>
      </c>
      <c r="T69" s="4">
        <f t="shared" si="26"/>
        <v>-67.213280122600381</v>
      </c>
      <c r="W69" s="3">
        <f t="shared" si="27"/>
        <v>0.88616666666666666</v>
      </c>
      <c r="X69" s="3">
        <f t="shared" si="27"/>
        <v>0.10366666666666668</v>
      </c>
      <c r="Y69" s="2">
        <f t="shared" si="22"/>
        <v>0.49566666666666664</v>
      </c>
      <c r="Z69" s="3">
        <f t="shared" si="28"/>
        <v>0.1575</v>
      </c>
      <c r="AA69" s="4">
        <f t="shared" si="28"/>
        <v>87.858000000000004</v>
      </c>
      <c r="AC69" s="8"/>
      <c r="AD69" s="8"/>
      <c r="AQ69" s="13"/>
      <c r="AR69" s="13"/>
    </row>
    <row r="70" spans="1:48" x14ac:dyDescent="0.3">
      <c r="A70" s="5" t="s">
        <v>243</v>
      </c>
      <c r="C70" t="s">
        <v>35</v>
      </c>
      <c r="E70" t="s">
        <v>36</v>
      </c>
      <c r="F70" s="11"/>
      <c r="G70" s="11"/>
      <c r="J70" s="90">
        <f>AVERAGE(J10,J19,J28,J37,J46,J55,J62,J65)</f>
        <v>10009.748749999999</v>
      </c>
      <c r="K70" s="90"/>
      <c r="L70" s="88">
        <f t="shared" ref="L70:X70" si="29">AVERAGE(L10,L19,L28,L37,L46,L55,L62,L65)</f>
        <v>7.4599999999999991</v>
      </c>
      <c r="M70" s="88">
        <f t="shared" si="29"/>
        <v>7.1000000000000005</v>
      </c>
      <c r="N70" s="88">
        <f t="shared" si="29"/>
        <v>377.26249999999999</v>
      </c>
      <c r="O70" s="88">
        <f t="shared" si="29"/>
        <v>333.83333333333331</v>
      </c>
      <c r="P70" s="90">
        <f t="shared" si="29"/>
        <v>13.300000000000002</v>
      </c>
      <c r="Q70" s="90">
        <f t="shared" si="29"/>
        <v>79.5</v>
      </c>
      <c r="R70" s="90">
        <f t="shared" si="29"/>
        <v>80.900000000000006</v>
      </c>
      <c r="S70" s="90">
        <f t="shared" si="29"/>
        <v>-66.650000000000006</v>
      </c>
      <c r="T70" s="90">
        <f t="shared" si="29"/>
        <v>-78.879872569251063</v>
      </c>
      <c r="U70" s="90"/>
      <c r="V70" s="90"/>
      <c r="W70" s="89">
        <f t="shared" si="29"/>
        <v>1.3479999999999999</v>
      </c>
      <c r="X70" s="89">
        <f t="shared" si="29"/>
        <v>0.17174999999999999</v>
      </c>
      <c r="Y70" s="88">
        <f>AVERAGE(Y10,Y19,Y28,Y37,Y46,Y55,Y62,Y65)</f>
        <v>0.53049999999999997</v>
      </c>
      <c r="Z70" s="89">
        <f>AVERAGE(Z10,Z19,Z28,Z37,Z46,Z55,Z62,Y65)</f>
        <v>0.22162500000000002</v>
      </c>
      <c r="AA70" s="90">
        <f>AVERAGE(AA10,AA19,AA28,AA37,AA46,AA55,AA62,Z65)</f>
        <v>75.300714285714292</v>
      </c>
      <c r="AC70" s="8"/>
      <c r="AD70" s="8"/>
      <c r="AQ70" s="13"/>
      <c r="AR70" s="13"/>
    </row>
    <row r="71" spans="1:48" s="7" customFormat="1" x14ac:dyDescent="0.3">
      <c r="A71" s="5" t="s">
        <v>243</v>
      </c>
      <c r="B71" s="12"/>
      <c r="C71" t="s">
        <v>41</v>
      </c>
      <c r="D71"/>
      <c r="E71" t="s">
        <v>42</v>
      </c>
      <c r="F71" s="11"/>
      <c r="G71" s="11"/>
      <c r="H71"/>
      <c r="I71" s="2"/>
      <c r="J71" s="90">
        <f>AVERAGE(J11,J20,J29,J38,J47,J56,J61,J64)</f>
        <v>9102.6299999999992</v>
      </c>
      <c r="K71" s="90"/>
      <c r="L71" s="88">
        <f t="shared" ref="L71:X71" si="30">AVERAGE(L11,L20,L29,L38,L47,L56,L61,L64)</f>
        <v>7.5212500000000002</v>
      </c>
      <c r="M71" s="88">
        <f t="shared" si="30"/>
        <v>7.3</v>
      </c>
      <c r="N71" s="88">
        <f t="shared" si="30"/>
        <v>348.85</v>
      </c>
      <c r="O71" s="88">
        <f t="shared" si="30"/>
        <v>303.16666666666669</v>
      </c>
      <c r="P71" s="90">
        <f t="shared" si="30"/>
        <v>11.680000000000001</v>
      </c>
      <c r="Q71" s="90">
        <f t="shared" si="30"/>
        <v>89.642857142857139</v>
      </c>
      <c r="R71" s="90">
        <f t="shared" si="30"/>
        <v>90.974999999999994</v>
      </c>
      <c r="S71" s="90">
        <f t="shared" si="30"/>
        <v>-76.8</v>
      </c>
      <c r="T71" s="90">
        <f t="shared" si="30"/>
        <v>-89.563564522972399</v>
      </c>
      <c r="U71" s="90"/>
      <c r="V71" s="90"/>
      <c r="W71" s="89">
        <f t="shared" si="30"/>
        <v>0.57574999999999998</v>
      </c>
      <c r="X71" s="89">
        <f t="shared" si="30"/>
        <v>9.1124999999999998E-2</v>
      </c>
      <c r="Y71" s="88">
        <f>AVERAGE(Y11,Y20,Y29,Y38,Y47,Y56,Y61,Y64)</f>
        <v>0.42399999999999999</v>
      </c>
      <c r="Z71" s="89">
        <f>AVERAGE(Z11,Z20,Z29,Z38,Z47,Z56,Z61,Y64)</f>
        <v>0.137375</v>
      </c>
      <c r="AA71" s="90">
        <f>AVERAGE(AA11,AA20,AA29,AA38,AA47,AA56,AA61,Z64)</f>
        <v>57.618857142857152</v>
      </c>
      <c r="AB71" s="3"/>
      <c r="AC71" s="8"/>
      <c r="AD71" s="8"/>
      <c r="AE71" s="3"/>
      <c r="AF71" s="3"/>
      <c r="AG71" s="2"/>
      <c r="AH71" s="2"/>
      <c r="AI71" s="3"/>
      <c r="AJ71" s="3"/>
      <c r="AK71" s="1"/>
      <c r="AL71" s="1"/>
      <c r="AM71" s="1"/>
      <c r="AN71" s="1"/>
      <c r="AO71" s="1"/>
      <c r="AP71"/>
      <c r="AQ71" s="13"/>
      <c r="AR71" s="13"/>
    </row>
    <row r="72" spans="1:48" x14ac:dyDescent="0.3">
      <c r="A72" s="5" t="s">
        <v>243</v>
      </c>
      <c r="C72" t="s">
        <v>44</v>
      </c>
      <c r="E72" t="s">
        <v>45</v>
      </c>
      <c r="F72" s="11"/>
      <c r="G72" s="11"/>
      <c r="J72" s="87">
        <f t="shared" si="24"/>
        <v>11940.935000000001</v>
      </c>
      <c r="K72" s="2"/>
      <c r="L72" s="2">
        <f t="shared" si="24"/>
        <v>7.8266666666666653</v>
      </c>
      <c r="M72" s="2">
        <f t="shared" si="25"/>
        <v>7.3499999999999988</v>
      </c>
      <c r="N72" s="2">
        <f t="shared" si="25"/>
        <v>324.83333333333331</v>
      </c>
      <c r="O72" s="2">
        <f t="shared" si="25"/>
        <v>320.33333333333331</v>
      </c>
      <c r="Q72" s="4">
        <f t="shared" si="26"/>
        <v>83.166666666666671</v>
      </c>
      <c r="R72" s="4">
        <f t="shared" si="26"/>
        <v>89.766666666666666</v>
      </c>
      <c r="S72" s="4">
        <f t="shared" si="26"/>
        <v>-75.666666666666671</v>
      </c>
      <c r="T72" s="4">
        <f t="shared" si="26"/>
        <v>-82.930285884434269</v>
      </c>
      <c r="W72" s="3">
        <f t="shared" si="27"/>
        <v>0.2416666666666667</v>
      </c>
      <c r="X72" s="3">
        <f t="shared" ref="X72" si="31">AVERAGE(X12,X21,X30,X39,X48,X57)</f>
        <v>6.3833333333333325E-2</v>
      </c>
      <c r="Y72" s="2">
        <f t="shared" si="22"/>
        <v>0.3</v>
      </c>
      <c r="Z72" s="3">
        <f t="shared" si="28"/>
        <v>6.7333333333333342E-2</v>
      </c>
      <c r="AA72" s="4">
        <f t="shared" si="28"/>
        <v>57.024000000000001</v>
      </c>
      <c r="AC72" s="8"/>
      <c r="AD72" s="8"/>
      <c r="AQ72" s="13"/>
      <c r="AR72" s="13"/>
    </row>
    <row r="73" spans="1:48" x14ac:dyDescent="0.3">
      <c r="A73" s="5" t="s">
        <v>243</v>
      </c>
      <c r="C73" t="s">
        <v>49</v>
      </c>
      <c r="E73" t="s">
        <v>602</v>
      </c>
      <c r="F73" s="11"/>
      <c r="G73" s="11"/>
      <c r="J73" s="87">
        <f t="shared" si="24"/>
        <v>4279.1350000000002</v>
      </c>
      <c r="K73" s="2"/>
      <c r="L73" s="2">
        <f t="shared" si="24"/>
        <v>7.5983333333333327</v>
      </c>
      <c r="M73" s="2">
        <f t="shared" si="25"/>
        <v>7.0166666666666666</v>
      </c>
      <c r="N73" s="2">
        <f t="shared" si="25"/>
        <v>362.33333333333331</v>
      </c>
      <c r="O73" s="2">
        <f t="shared" si="25"/>
        <v>328.33333333333331</v>
      </c>
      <c r="Q73" s="4">
        <f t="shared" si="26"/>
        <v>58.75</v>
      </c>
      <c r="R73" s="4">
        <f t="shared" si="26"/>
        <v>59.300000000000004</v>
      </c>
      <c r="S73" s="4">
        <f t="shared" si="26"/>
        <v>-48.06666666666667</v>
      </c>
      <c r="T73" s="4">
        <f t="shared" si="26"/>
        <v>-59.416035729372553</v>
      </c>
      <c r="W73" s="3">
        <f t="shared" si="27"/>
        <v>0.3153333333333333</v>
      </c>
      <c r="X73" s="3">
        <f t="shared" ref="X73" si="32">AVERAGE(X13,X22,X31,X40,X49,X58)</f>
        <v>6.2666666666666662E-2</v>
      </c>
      <c r="Y73" s="2">
        <f t="shared" si="22"/>
        <v>0.3</v>
      </c>
      <c r="Z73" s="3">
        <f t="shared" si="28"/>
        <v>0.15416666666666665</v>
      </c>
      <c r="AA73" s="4">
        <f t="shared" si="28"/>
        <v>116.33000000000001</v>
      </c>
      <c r="AC73" s="8"/>
      <c r="AD73" s="8"/>
      <c r="AQ73" s="13"/>
      <c r="AR73" s="13"/>
    </row>
    <row r="74" spans="1:48" x14ac:dyDescent="0.3">
      <c r="A74" s="5" t="s">
        <v>243</v>
      </c>
      <c r="C74" t="s">
        <v>51</v>
      </c>
      <c r="E74" t="s">
        <v>112</v>
      </c>
      <c r="F74" s="11"/>
      <c r="G74" s="11"/>
      <c r="J74" s="87">
        <f t="shared" si="24"/>
        <v>3989.24</v>
      </c>
      <c r="K74" s="2"/>
      <c r="L74" s="2">
        <f t="shared" si="24"/>
        <v>7.4883333333333333</v>
      </c>
      <c r="M74" s="2">
        <f t="shared" si="25"/>
        <v>6.8666666666666671</v>
      </c>
      <c r="N74" s="2">
        <f t="shared" si="25"/>
        <v>367.5</v>
      </c>
      <c r="O74" s="2">
        <f t="shared" si="25"/>
        <v>346.66666666666669</v>
      </c>
      <c r="Q74" s="4">
        <f t="shared" si="26"/>
        <v>49.5</v>
      </c>
      <c r="R74" s="4">
        <f t="shared" si="26"/>
        <v>53.533333333333331</v>
      </c>
      <c r="S74" s="4">
        <f t="shared" si="26"/>
        <v>-42.766666666666659</v>
      </c>
      <c r="T74" s="4">
        <f t="shared" si="26"/>
        <v>-48.127023704215446</v>
      </c>
      <c r="W74" s="3">
        <f t="shared" si="27"/>
        <v>0.29433333333333334</v>
      </c>
      <c r="X74" s="3">
        <f t="shared" ref="X74" si="33">AVERAGE(X14,X23,X32,X41,X50,X59)</f>
        <v>6.1600000000000002E-2</v>
      </c>
      <c r="Y74" s="2">
        <f t="shared" si="22"/>
        <v>0.35366666666666663</v>
      </c>
      <c r="Z74" s="3">
        <f t="shared" si="28"/>
        <v>0.1424</v>
      </c>
      <c r="AA74" s="4">
        <f t="shared" si="28"/>
        <v>108.098</v>
      </c>
      <c r="AC74" s="8"/>
      <c r="AD74" s="8"/>
      <c r="AQ74" s="13"/>
      <c r="AR74" s="13"/>
    </row>
    <row r="75" spans="1:48" x14ac:dyDescent="0.3">
      <c r="F75" s="11"/>
      <c r="G75" s="11"/>
      <c r="W75" s="23"/>
      <c r="X75" s="23"/>
      <c r="AC75" s="8"/>
      <c r="AD75" s="8"/>
      <c r="AQ75" s="13"/>
      <c r="AR75" s="13"/>
    </row>
    <row r="76" spans="1:48" x14ac:dyDescent="0.3">
      <c r="F76" s="11"/>
      <c r="G76" s="11"/>
      <c r="W76" s="23"/>
      <c r="X76" s="23"/>
      <c r="AC76" s="6"/>
      <c r="AD76" s="6"/>
      <c r="AE76" s="6"/>
      <c r="AF76" s="8"/>
      <c r="AQ76" s="13"/>
      <c r="AR76" s="13"/>
    </row>
    <row r="77" spans="1:48" x14ac:dyDescent="0.3">
      <c r="F77" s="11"/>
      <c r="G77" s="11"/>
      <c r="AC77" s="8"/>
      <c r="AD77" s="8"/>
    </row>
    <row r="78" spans="1:48" x14ac:dyDescent="0.3">
      <c r="F78" s="11"/>
      <c r="G78" s="11"/>
      <c r="AC78" s="8"/>
      <c r="AD78" s="8"/>
    </row>
    <row r="79" spans="1:48" x14ac:dyDescent="0.3">
      <c r="F79" s="11"/>
      <c r="G79" s="11"/>
      <c r="AC79" s="8"/>
      <c r="AD79" s="8"/>
    </row>
    <row r="80" spans="1:48" x14ac:dyDescent="0.3">
      <c r="F80" s="11"/>
      <c r="G80" s="11"/>
      <c r="AC80" s="8"/>
      <c r="AD80" s="8"/>
    </row>
    <row r="81" spans="1:44" x14ac:dyDescent="0.3">
      <c r="F81" s="11"/>
      <c r="G81" s="11"/>
      <c r="AC81" s="8"/>
      <c r="AD81" s="8"/>
    </row>
    <row r="82" spans="1:44" x14ac:dyDescent="0.3">
      <c r="F82" s="11"/>
      <c r="G82" s="11"/>
      <c r="R82" s="40"/>
      <c r="S82" s="40"/>
      <c r="W82" s="8"/>
      <c r="X82" s="8"/>
      <c r="Y82" s="8"/>
      <c r="Z82" s="8"/>
      <c r="AA82" s="40"/>
      <c r="AB82" s="6"/>
      <c r="AC82" s="6"/>
      <c r="AD82" s="6"/>
      <c r="AE82" s="8"/>
      <c r="AF82" s="6"/>
      <c r="AG82" s="6"/>
      <c r="AH82" s="41"/>
      <c r="AI82" s="6"/>
    </row>
    <row r="83" spans="1:44" s="7" customFormat="1" x14ac:dyDescent="0.3">
      <c r="A83" s="5"/>
      <c r="B83" s="12"/>
      <c r="C83"/>
      <c r="D83"/>
      <c r="E83"/>
      <c r="F83" s="11"/>
      <c r="G83" s="11"/>
      <c r="H83"/>
      <c r="I83" s="2"/>
      <c r="J83" s="1"/>
      <c r="K83"/>
      <c r="L83" s="2"/>
      <c r="M83" s="2"/>
      <c r="N83" s="1"/>
      <c r="O83" s="6"/>
      <c r="P83" s="3"/>
      <c r="Q83" s="4"/>
      <c r="R83" s="4"/>
      <c r="S83" s="4"/>
      <c r="T83" s="4"/>
      <c r="U83" s="2"/>
      <c r="V83" s="2"/>
      <c r="W83" s="3"/>
      <c r="X83" s="3"/>
      <c r="Y83" s="3"/>
      <c r="Z83" s="3"/>
      <c r="AA83" s="40"/>
      <c r="AB83" s="8"/>
      <c r="AC83" s="8"/>
      <c r="AD83" s="8"/>
      <c r="AE83" s="6"/>
      <c r="AF83" s="6"/>
      <c r="AG83" s="2"/>
      <c r="AH83" s="2"/>
      <c r="AI83" s="6"/>
      <c r="AJ83" s="3"/>
      <c r="AK83" s="1"/>
      <c r="AL83" s="1"/>
      <c r="AM83" s="1"/>
      <c r="AN83" s="1"/>
      <c r="AO83" s="1"/>
      <c r="AP83"/>
      <c r="AQ83"/>
      <c r="AR83"/>
    </row>
    <row r="85" spans="1:44" x14ac:dyDescent="0.3">
      <c r="R85" s="6"/>
      <c r="S85" s="40"/>
      <c r="U85" s="6"/>
      <c r="V85" s="6"/>
      <c r="W85" s="8"/>
      <c r="X85" s="8"/>
      <c r="Y85" s="8"/>
      <c r="Z85" s="8"/>
      <c r="AA85" s="40"/>
      <c r="AB85" s="8"/>
      <c r="AC85" s="6"/>
      <c r="AD85" s="8"/>
      <c r="AE85" s="8"/>
      <c r="AF85" s="8"/>
      <c r="AG85" s="6"/>
      <c r="AH85" s="41"/>
      <c r="AI85" s="6"/>
    </row>
    <row r="86" spans="1:44" x14ac:dyDescent="0.3">
      <c r="AA86" s="40"/>
      <c r="AB86" s="6"/>
      <c r="AC86" s="6"/>
      <c r="AD86" s="8"/>
      <c r="AE86" s="8"/>
      <c r="AF86" s="8"/>
    </row>
    <row r="87" spans="1:44" x14ac:dyDescent="0.3">
      <c r="F87" s="11"/>
      <c r="G87" s="11"/>
    </row>
    <row r="88" spans="1:44" x14ac:dyDescent="0.3">
      <c r="E88" s="16"/>
      <c r="F88" s="44"/>
      <c r="G88" s="44"/>
      <c r="H88" s="16"/>
      <c r="I88" s="17"/>
      <c r="J88" s="14"/>
      <c r="K88" s="16"/>
      <c r="L88" s="17"/>
      <c r="M88" s="17"/>
      <c r="N88" s="14"/>
      <c r="O88" s="14"/>
      <c r="P88" s="23"/>
      <c r="Q88" s="10"/>
      <c r="R88" s="10"/>
      <c r="S88" s="10"/>
      <c r="U88" s="17"/>
      <c r="V88" s="17"/>
      <c r="W88" s="10"/>
      <c r="X88" s="23"/>
      <c r="Y88" s="10"/>
      <c r="Z88" s="10"/>
      <c r="AA88" s="10"/>
    </row>
    <row r="89" spans="1:44" x14ac:dyDescent="0.3">
      <c r="A89" s="24"/>
      <c r="E89" s="16"/>
      <c r="F89" s="11"/>
      <c r="G89" s="11"/>
      <c r="J89" s="9"/>
      <c r="K89" s="26"/>
      <c r="L89" s="21"/>
      <c r="M89" s="21"/>
      <c r="N89" s="9"/>
      <c r="O89" s="9"/>
      <c r="R89" s="40"/>
      <c r="S89" s="40"/>
      <c r="T89" s="6"/>
      <c r="U89" s="6"/>
      <c r="V89" s="6"/>
      <c r="W89" s="8"/>
      <c r="X89" s="8"/>
      <c r="Y89" s="8"/>
      <c r="Z89" s="8"/>
      <c r="AA89" s="40"/>
      <c r="AB89" s="8"/>
      <c r="AC89" s="6"/>
      <c r="AD89" s="6"/>
      <c r="AE89" s="8"/>
      <c r="AF89" s="8"/>
      <c r="AG89" s="41"/>
      <c r="AH89" s="41"/>
      <c r="AI89" s="6"/>
    </row>
    <row r="90" spans="1:44" x14ac:dyDescent="0.3">
      <c r="A90" s="24"/>
      <c r="B90" s="25"/>
      <c r="C90" s="26"/>
      <c r="D90" s="26"/>
      <c r="E90" s="26"/>
      <c r="F90" s="27"/>
      <c r="G90" s="27"/>
      <c r="H90" s="26"/>
      <c r="I90" s="21"/>
      <c r="J90" s="9"/>
      <c r="K90" s="26"/>
      <c r="L90" s="21"/>
      <c r="M90" s="21"/>
      <c r="N90" s="9"/>
      <c r="O90" s="9"/>
      <c r="P90" s="22"/>
      <c r="Q90" s="18"/>
      <c r="R90" s="18"/>
      <c r="S90" s="18"/>
      <c r="U90" s="21"/>
      <c r="V90" s="21"/>
      <c r="W90" s="18"/>
      <c r="X90" s="22"/>
      <c r="Y90" s="18"/>
      <c r="Z90" s="18"/>
      <c r="AA90" s="40"/>
      <c r="AB90" s="8"/>
      <c r="AC90" s="6"/>
      <c r="AD90" s="6"/>
      <c r="AE90" s="8"/>
      <c r="AF90" s="6"/>
      <c r="AG90" s="21"/>
      <c r="AH90" s="21"/>
      <c r="AI90" s="22"/>
      <c r="AJ90" s="22"/>
      <c r="AP90" s="26"/>
      <c r="AQ90" s="26"/>
      <c r="AR90" s="26"/>
    </row>
    <row r="92" spans="1:44" s="7" customFormat="1" x14ac:dyDescent="0.3">
      <c r="A92" s="5"/>
      <c r="B92" s="12"/>
      <c r="C92"/>
      <c r="D92"/>
      <c r="E92"/>
      <c r="F92"/>
      <c r="G92"/>
      <c r="H92"/>
      <c r="I92" s="2"/>
      <c r="J92" s="1"/>
      <c r="K92"/>
      <c r="L92" s="2"/>
      <c r="M92" s="2"/>
      <c r="N92" s="1"/>
      <c r="O92" s="1"/>
      <c r="P92" s="3"/>
      <c r="Q92" s="4"/>
      <c r="R92" s="6"/>
      <c r="S92" s="6"/>
      <c r="T92" s="4"/>
      <c r="U92" s="6"/>
      <c r="V92" s="6"/>
      <c r="W92" s="8"/>
      <c r="X92" s="8"/>
      <c r="Y92" s="8"/>
      <c r="Z92" s="8"/>
      <c r="AA92" s="40"/>
      <c r="AB92" s="8"/>
      <c r="AC92" s="6"/>
      <c r="AD92" s="6"/>
      <c r="AE92" s="8"/>
      <c r="AF92" s="6"/>
      <c r="AG92" s="6"/>
      <c r="AH92" s="41"/>
      <c r="AI92" s="6"/>
      <c r="AJ92" s="3"/>
      <c r="AK92" s="1"/>
      <c r="AL92" s="1"/>
      <c r="AM92" s="1"/>
      <c r="AN92" s="1"/>
      <c r="AO92" s="1"/>
      <c r="AP92"/>
      <c r="AQ92"/>
      <c r="AR92"/>
    </row>
    <row r="93" spans="1:44" x14ac:dyDescent="0.3">
      <c r="AB93" s="6"/>
      <c r="AC93" s="6"/>
      <c r="AD93" s="8"/>
      <c r="AE93" s="8"/>
      <c r="AF93" s="6"/>
    </row>
    <row r="94" spans="1:44" x14ac:dyDescent="0.3">
      <c r="F94" s="11"/>
      <c r="G94" s="11"/>
      <c r="AC94" s="8"/>
      <c r="AD94" s="8"/>
    </row>
    <row r="95" spans="1:44" x14ac:dyDescent="0.3">
      <c r="F95" s="11"/>
      <c r="G95" s="11"/>
      <c r="AC95" s="8"/>
      <c r="AD95" s="8"/>
      <c r="AQ95" s="13"/>
      <c r="AR95" s="13"/>
    </row>
    <row r="96" spans="1:44" x14ac:dyDescent="0.3">
      <c r="F96" s="11"/>
      <c r="G96" s="11"/>
      <c r="AC96" s="8"/>
      <c r="AD96" s="8"/>
      <c r="AQ96" s="13"/>
      <c r="AR96" s="13"/>
    </row>
    <row r="97" spans="1:44" x14ac:dyDescent="0.3">
      <c r="F97" s="11"/>
      <c r="G97" s="11"/>
      <c r="AC97" s="8"/>
      <c r="AD97" s="8"/>
      <c r="AQ97" s="13"/>
      <c r="AR97" s="13"/>
    </row>
    <row r="98" spans="1:44" x14ac:dyDescent="0.3">
      <c r="F98" s="11"/>
      <c r="G98" s="11"/>
      <c r="AC98" s="8"/>
      <c r="AD98" s="8"/>
      <c r="AQ98" s="13"/>
      <c r="AR98" s="13"/>
    </row>
    <row r="99" spans="1:44" x14ac:dyDescent="0.3">
      <c r="F99" s="11"/>
      <c r="G99" s="11"/>
      <c r="AC99" s="8"/>
      <c r="AD99" s="8"/>
      <c r="AQ99" s="13"/>
      <c r="AR99" s="13"/>
    </row>
    <row r="100" spans="1:44" x14ac:dyDescent="0.3">
      <c r="F100" s="11"/>
      <c r="G100" s="11"/>
      <c r="AB100" s="6"/>
      <c r="AC100" s="6"/>
      <c r="AD100" s="6"/>
      <c r="AE100" s="6"/>
      <c r="AF100" s="6"/>
      <c r="AQ100" s="13"/>
      <c r="AR100" s="13"/>
    </row>
    <row r="101" spans="1:44" x14ac:dyDescent="0.3">
      <c r="F101" s="11"/>
      <c r="G101" s="11"/>
      <c r="AC101" s="8"/>
      <c r="AD101" s="8"/>
      <c r="AQ101" s="13"/>
      <c r="AR101" s="13"/>
    </row>
    <row r="102" spans="1:44" x14ac:dyDescent="0.3">
      <c r="F102" s="11"/>
      <c r="G102" s="11"/>
      <c r="AC102" s="8"/>
      <c r="AD102" s="8"/>
      <c r="AQ102" s="13"/>
      <c r="AR102" s="13"/>
    </row>
    <row r="103" spans="1:44" x14ac:dyDescent="0.3">
      <c r="F103" s="11"/>
      <c r="G103" s="11"/>
      <c r="AC103" s="8"/>
      <c r="AD103" s="8"/>
      <c r="AQ103" s="13"/>
      <c r="AR103" s="13"/>
    </row>
    <row r="104" spans="1:44" x14ac:dyDescent="0.3">
      <c r="F104" s="11"/>
      <c r="G104" s="11"/>
      <c r="AC104" s="8"/>
      <c r="AD104" s="8"/>
      <c r="AQ104" s="13"/>
      <c r="AR104" s="13"/>
    </row>
    <row r="105" spans="1:44" x14ac:dyDescent="0.3">
      <c r="F105" s="11"/>
      <c r="G105" s="11"/>
      <c r="AC105" s="8"/>
      <c r="AD105" s="8"/>
      <c r="AQ105" s="13"/>
      <c r="AR105" s="13"/>
    </row>
    <row r="106" spans="1:44" x14ac:dyDescent="0.3">
      <c r="F106" s="11"/>
      <c r="G106" s="11"/>
      <c r="O106" s="6"/>
      <c r="AB106" s="6"/>
      <c r="AC106" s="6"/>
      <c r="AD106" s="6"/>
      <c r="AE106" s="6"/>
      <c r="AF106" s="6"/>
      <c r="AQ106" s="13"/>
      <c r="AR106" s="13"/>
    </row>
    <row r="107" spans="1:44" x14ac:dyDescent="0.3">
      <c r="F107" s="11"/>
      <c r="G107" s="11"/>
      <c r="AC107" s="8"/>
      <c r="AD107" s="8"/>
      <c r="AQ107" s="13"/>
      <c r="AR107" s="13"/>
    </row>
    <row r="108" spans="1:44" x14ac:dyDescent="0.3">
      <c r="F108" s="11"/>
      <c r="G108" s="11"/>
      <c r="AC108" s="8"/>
      <c r="AD108" s="8"/>
      <c r="AQ108" s="13"/>
      <c r="AR108" s="13"/>
    </row>
    <row r="109" spans="1:44" x14ac:dyDescent="0.3">
      <c r="F109" s="11"/>
      <c r="G109" s="11"/>
      <c r="AC109" s="8"/>
      <c r="AD109" s="8"/>
      <c r="AQ109" s="13"/>
      <c r="AR109" s="13"/>
    </row>
    <row r="110" spans="1:44" s="7" customFormat="1" x14ac:dyDescent="0.3">
      <c r="A110" s="5"/>
      <c r="B110" s="12"/>
      <c r="C110"/>
      <c r="D110"/>
      <c r="E110"/>
      <c r="F110" s="11"/>
      <c r="G110" s="11"/>
      <c r="H110"/>
      <c r="I110" s="2"/>
      <c r="J110" s="1"/>
      <c r="K110"/>
      <c r="L110" s="2"/>
      <c r="M110" s="2"/>
      <c r="N110" s="1"/>
      <c r="O110" s="1"/>
      <c r="P110" s="3"/>
      <c r="Q110" s="4"/>
      <c r="R110" s="4"/>
      <c r="S110" s="4"/>
      <c r="T110" s="4"/>
      <c r="U110" s="2"/>
      <c r="V110" s="2"/>
      <c r="W110" s="3"/>
      <c r="X110" s="3"/>
      <c r="Y110" s="3"/>
      <c r="Z110" s="3"/>
      <c r="AA110" s="4"/>
      <c r="AB110" s="3"/>
      <c r="AC110" s="8"/>
      <c r="AD110" s="8"/>
      <c r="AE110" s="3"/>
      <c r="AF110" s="3"/>
      <c r="AG110" s="2"/>
      <c r="AH110" s="2"/>
      <c r="AI110" s="3"/>
      <c r="AJ110" s="3"/>
      <c r="AK110" s="1"/>
      <c r="AL110" s="1"/>
      <c r="AM110" s="1"/>
      <c r="AN110" s="1"/>
      <c r="AO110" s="1"/>
      <c r="AP110"/>
      <c r="AQ110" s="13"/>
      <c r="AR110" s="13"/>
    </row>
    <row r="111" spans="1:44" x14ac:dyDescent="0.3">
      <c r="F111" s="11"/>
      <c r="G111" s="11"/>
      <c r="R111" s="40"/>
      <c r="S111" s="40"/>
      <c r="T111" s="6"/>
      <c r="U111" s="6"/>
      <c r="V111" s="6"/>
      <c r="W111" s="8"/>
      <c r="X111" s="8"/>
      <c r="Y111" s="8"/>
      <c r="Z111" s="8"/>
      <c r="AA111" s="40"/>
      <c r="AB111" s="6"/>
      <c r="AC111" s="6"/>
      <c r="AD111" s="8"/>
      <c r="AE111" s="6"/>
      <c r="AF111" s="6"/>
      <c r="AG111" s="6"/>
      <c r="AH111" s="41"/>
      <c r="AI111" s="6"/>
      <c r="AQ111" s="13"/>
      <c r="AR111" s="13"/>
    </row>
    <row r="112" spans="1:44" x14ac:dyDescent="0.3">
      <c r="F112" s="11"/>
      <c r="G112" s="11"/>
      <c r="O112" s="6"/>
      <c r="R112" s="40"/>
      <c r="S112" s="40"/>
      <c r="T112" s="6"/>
      <c r="U112" s="6"/>
      <c r="V112" s="6"/>
      <c r="W112" s="8"/>
      <c r="X112" s="8"/>
      <c r="Y112" s="8"/>
      <c r="Z112" s="8"/>
      <c r="AA112" s="40"/>
      <c r="AB112" s="6"/>
      <c r="AC112" s="6"/>
      <c r="AD112" s="8"/>
      <c r="AE112" s="6"/>
      <c r="AF112" s="6"/>
      <c r="AG112" s="6"/>
      <c r="AH112" s="41"/>
      <c r="AI112" s="6"/>
      <c r="AQ112" s="13"/>
      <c r="AR112" s="13"/>
    </row>
    <row r="113" spans="1:44" x14ac:dyDescent="0.3">
      <c r="M113" s="6"/>
      <c r="AC113" s="8"/>
      <c r="AD113" s="8"/>
      <c r="AQ113" s="13"/>
      <c r="AR113" s="13"/>
    </row>
    <row r="114" spans="1:44" x14ac:dyDescent="0.3">
      <c r="M114" s="6"/>
      <c r="AC114" s="8"/>
      <c r="AD114" s="8"/>
      <c r="AQ114" s="13"/>
      <c r="AR114" s="13"/>
    </row>
    <row r="118" spans="1:44" x14ac:dyDescent="0.3">
      <c r="O118" s="6"/>
      <c r="AC118" s="6"/>
      <c r="AD118" s="6"/>
      <c r="AE118" s="6"/>
      <c r="AF118" s="6"/>
    </row>
    <row r="119" spans="1:44" x14ac:dyDescent="0.3">
      <c r="F119" s="11"/>
      <c r="G119" s="11"/>
      <c r="Z119" s="22"/>
      <c r="AC119" s="8"/>
      <c r="AD119" s="8"/>
      <c r="AQ119" s="13"/>
      <c r="AR119" s="13"/>
    </row>
    <row r="120" spans="1:44" x14ac:dyDescent="0.3">
      <c r="F120" s="11"/>
      <c r="G120" s="11"/>
      <c r="AC120" s="8"/>
      <c r="AD120" s="8"/>
      <c r="AQ120" s="13"/>
      <c r="AR120" s="13"/>
    </row>
    <row r="121" spans="1:44" x14ac:dyDescent="0.3">
      <c r="C121" s="26"/>
      <c r="F121" s="11"/>
      <c r="G121" s="11"/>
      <c r="AC121" s="8"/>
      <c r="AD121" s="8"/>
      <c r="AQ121" s="13"/>
      <c r="AR121" s="13"/>
    </row>
    <row r="122" spans="1:44" x14ac:dyDescent="0.3">
      <c r="C122" s="26"/>
      <c r="F122" s="11"/>
      <c r="G122" s="11"/>
      <c r="AC122" s="8"/>
      <c r="AD122" s="8"/>
      <c r="AQ122" s="13"/>
      <c r="AR122" s="13"/>
    </row>
    <row r="123" spans="1:44" x14ac:dyDescent="0.3">
      <c r="C123" s="26"/>
      <c r="F123" s="11"/>
      <c r="G123" s="11"/>
      <c r="R123" s="6"/>
      <c r="S123" s="40"/>
      <c r="U123" s="6"/>
      <c r="V123" s="6"/>
      <c r="W123" s="8"/>
      <c r="X123" s="8"/>
      <c r="Y123" s="8"/>
      <c r="Z123" s="8"/>
      <c r="AA123" s="40"/>
      <c r="AB123" s="6"/>
      <c r="AC123" s="6"/>
      <c r="AD123" s="6"/>
      <c r="AE123" s="6"/>
      <c r="AF123" s="6"/>
      <c r="AG123" s="6"/>
      <c r="AH123" s="41"/>
      <c r="AI123" s="6"/>
      <c r="AQ123" s="13"/>
      <c r="AR123" s="13"/>
    </row>
    <row r="124" spans="1:44" x14ac:dyDescent="0.3">
      <c r="C124" s="26"/>
      <c r="F124" s="11"/>
      <c r="G124" s="11"/>
      <c r="AB124" s="6"/>
      <c r="AC124" s="6"/>
      <c r="AD124" s="8"/>
      <c r="AE124" s="6"/>
      <c r="AF124" s="6"/>
      <c r="AQ124" s="13"/>
      <c r="AR124" s="13"/>
    </row>
    <row r="125" spans="1:44" x14ac:dyDescent="0.3">
      <c r="A125" s="24"/>
      <c r="B125" s="25"/>
      <c r="C125" s="26"/>
      <c r="D125" s="26"/>
      <c r="F125" s="27"/>
      <c r="G125" s="27"/>
      <c r="H125" s="26"/>
      <c r="I125" s="21"/>
      <c r="J125" s="9"/>
      <c r="K125" s="26"/>
      <c r="L125" s="21"/>
      <c r="M125" s="21"/>
      <c r="N125" s="9"/>
      <c r="O125" s="9"/>
      <c r="P125" s="22"/>
      <c r="Q125" s="18"/>
      <c r="R125" s="18"/>
      <c r="S125" s="18"/>
      <c r="T125" s="18"/>
      <c r="U125" s="21"/>
      <c r="V125" s="21"/>
      <c r="W125" s="22"/>
      <c r="X125" s="22"/>
      <c r="Y125" s="22"/>
      <c r="Z125" s="22"/>
      <c r="AA125" s="18"/>
      <c r="AB125" s="22"/>
      <c r="AC125" s="28"/>
      <c r="AD125" s="28"/>
      <c r="AE125" s="22"/>
      <c r="AF125" s="22"/>
      <c r="AG125" s="21"/>
      <c r="AH125" s="21"/>
      <c r="AI125" s="22"/>
      <c r="AJ125" s="22"/>
      <c r="AK125" s="9"/>
      <c r="AL125" s="9"/>
      <c r="AM125" s="9"/>
      <c r="AN125" s="9"/>
      <c r="AO125" s="9"/>
      <c r="AP125" s="26"/>
      <c r="AQ125" s="29"/>
      <c r="AR125" s="29"/>
    </row>
    <row r="126" spans="1:44" x14ac:dyDescent="0.3">
      <c r="A126" s="24"/>
      <c r="B126" s="25"/>
      <c r="C126" s="26"/>
      <c r="D126" s="26"/>
      <c r="F126" s="27"/>
      <c r="G126" s="27"/>
      <c r="H126" s="26"/>
      <c r="I126" s="21"/>
      <c r="J126" s="9"/>
      <c r="K126" s="26"/>
      <c r="L126" s="21"/>
      <c r="M126" s="21"/>
      <c r="N126" s="9"/>
      <c r="O126" s="9"/>
      <c r="P126" s="22"/>
      <c r="Q126" s="18"/>
      <c r="R126" s="18"/>
      <c r="S126" s="18"/>
      <c r="T126" s="18"/>
      <c r="U126" s="21"/>
      <c r="V126" s="21"/>
      <c r="W126" s="22"/>
      <c r="X126" s="22"/>
      <c r="Y126" s="22"/>
      <c r="Z126" s="22"/>
      <c r="AA126" s="18"/>
      <c r="AB126" s="22"/>
      <c r="AC126" s="28"/>
      <c r="AD126" s="28"/>
      <c r="AE126" s="22"/>
      <c r="AF126" s="22"/>
      <c r="AG126" s="21"/>
      <c r="AH126" s="21"/>
      <c r="AI126" s="22"/>
      <c r="AJ126" s="22"/>
      <c r="AK126" s="9"/>
      <c r="AL126" s="9"/>
      <c r="AM126" s="9"/>
      <c r="AN126" s="9"/>
      <c r="AO126" s="9"/>
      <c r="AP126" s="26"/>
      <c r="AQ126" s="29"/>
      <c r="AR126" s="29"/>
    </row>
    <row r="127" spans="1:44" x14ac:dyDescent="0.3">
      <c r="A127" s="24"/>
      <c r="B127" s="25"/>
      <c r="C127" s="26"/>
      <c r="D127" s="26"/>
      <c r="F127" s="27"/>
      <c r="G127" s="27"/>
      <c r="H127" s="26"/>
      <c r="I127" s="21"/>
      <c r="J127" s="9"/>
      <c r="K127" s="26"/>
      <c r="L127" s="21"/>
      <c r="M127" s="21"/>
      <c r="N127" s="9"/>
      <c r="O127" s="9"/>
      <c r="P127" s="22"/>
      <c r="Q127" s="18"/>
      <c r="R127" s="18"/>
      <c r="S127" s="18"/>
      <c r="T127" s="18"/>
      <c r="U127" s="21"/>
      <c r="V127" s="21"/>
      <c r="W127" s="22"/>
      <c r="X127" s="22"/>
      <c r="Y127" s="22"/>
      <c r="Z127" s="22"/>
      <c r="AA127" s="18"/>
      <c r="AB127" s="22"/>
      <c r="AC127" s="28"/>
      <c r="AD127" s="28"/>
      <c r="AE127" s="22"/>
      <c r="AF127" s="22"/>
      <c r="AG127" s="21"/>
      <c r="AH127" s="21"/>
      <c r="AI127" s="22"/>
      <c r="AJ127" s="22"/>
      <c r="AK127" s="9"/>
      <c r="AL127" s="9"/>
      <c r="AM127" s="9"/>
      <c r="AN127" s="9"/>
      <c r="AO127" s="9"/>
      <c r="AP127" s="26"/>
      <c r="AQ127" s="29"/>
      <c r="AR127" s="29"/>
    </row>
    <row r="128" spans="1:44" x14ac:dyDescent="0.3">
      <c r="A128" s="24"/>
      <c r="B128" s="25"/>
      <c r="C128" s="26"/>
      <c r="D128" s="26"/>
      <c r="F128" s="27"/>
      <c r="G128" s="27"/>
      <c r="H128" s="26"/>
      <c r="I128" s="21"/>
      <c r="J128" s="9"/>
      <c r="K128" s="26"/>
      <c r="L128" s="21"/>
      <c r="M128" s="21"/>
      <c r="N128" s="9"/>
      <c r="O128" s="9"/>
      <c r="P128" s="22"/>
      <c r="Q128" s="18"/>
      <c r="R128" s="18"/>
      <c r="S128" s="18"/>
      <c r="T128" s="18"/>
      <c r="U128" s="21"/>
      <c r="V128" s="21"/>
      <c r="W128" s="22"/>
      <c r="X128" s="22"/>
      <c r="Y128" s="22"/>
      <c r="Z128" s="22"/>
      <c r="AA128" s="18"/>
      <c r="AB128" s="22"/>
      <c r="AC128" s="28"/>
      <c r="AD128" s="28"/>
      <c r="AE128" s="22"/>
      <c r="AF128" s="22"/>
      <c r="AG128" s="21"/>
      <c r="AH128" s="21"/>
      <c r="AI128" s="22"/>
      <c r="AJ128" s="22"/>
      <c r="AK128" s="9"/>
      <c r="AL128" s="9"/>
      <c r="AM128" s="9"/>
      <c r="AN128" s="9"/>
      <c r="AO128" s="9"/>
      <c r="AP128" s="26"/>
      <c r="AQ128" s="29"/>
      <c r="AR128" s="29"/>
    </row>
    <row r="129" spans="1:44" x14ac:dyDescent="0.3">
      <c r="A129" s="24"/>
      <c r="B129" s="25"/>
      <c r="C129" s="26"/>
      <c r="D129" s="26"/>
      <c r="F129" s="27"/>
      <c r="G129" s="27"/>
      <c r="H129" s="26"/>
      <c r="I129" s="21"/>
      <c r="J129" s="9"/>
      <c r="K129" s="26"/>
      <c r="L129" s="21"/>
      <c r="M129" s="21"/>
      <c r="N129" s="9"/>
      <c r="O129" s="9"/>
      <c r="P129" s="22"/>
      <c r="Q129" s="18"/>
      <c r="R129" s="18"/>
      <c r="S129" s="18"/>
      <c r="T129" s="18"/>
      <c r="U129" s="21"/>
      <c r="V129" s="21"/>
      <c r="W129" s="22"/>
      <c r="X129" s="22"/>
      <c r="Y129" s="22"/>
      <c r="Z129" s="22"/>
      <c r="AA129" s="18"/>
      <c r="AB129" s="22"/>
      <c r="AC129" s="28"/>
      <c r="AD129" s="28"/>
      <c r="AE129" s="22"/>
      <c r="AF129" s="22"/>
      <c r="AG129" s="21"/>
      <c r="AH129" s="21"/>
      <c r="AI129" s="22"/>
      <c r="AJ129" s="22"/>
      <c r="AK129" s="9"/>
      <c r="AL129" s="9"/>
      <c r="AM129" s="9"/>
      <c r="AN129" s="9"/>
      <c r="AO129" s="9"/>
      <c r="AP129" s="26"/>
      <c r="AQ129" s="29"/>
      <c r="AR129" s="29"/>
    </row>
    <row r="130" spans="1:44" x14ac:dyDescent="0.3">
      <c r="A130" s="24"/>
      <c r="B130" s="25"/>
      <c r="C130" s="26"/>
      <c r="D130" s="26"/>
      <c r="F130" s="27"/>
      <c r="G130" s="27"/>
      <c r="H130" s="26"/>
      <c r="I130" s="21"/>
      <c r="J130" s="9"/>
      <c r="K130" s="26"/>
      <c r="L130" s="21"/>
      <c r="M130" s="21"/>
      <c r="N130" s="9"/>
      <c r="O130" s="9"/>
      <c r="P130" s="22"/>
      <c r="Q130" s="18"/>
      <c r="R130" s="18"/>
      <c r="S130" s="18"/>
      <c r="T130" s="18"/>
      <c r="U130" s="21"/>
      <c r="V130" s="21"/>
      <c r="W130" s="22"/>
      <c r="X130" s="22"/>
      <c r="Y130" s="22"/>
      <c r="Z130" s="22"/>
      <c r="AA130" s="18"/>
      <c r="AB130" s="22"/>
      <c r="AC130" s="28"/>
      <c r="AD130" s="28"/>
      <c r="AE130" s="22"/>
      <c r="AF130" s="22"/>
      <c r="AG130" s="21"/>
      <c r="AH130" s="21"/>
      <c r="AI130" s="22"/>
      <c r="AJ130" s="22"/>
      <c r="AK130" s="9"/>
      <c r="AL130" s="9"/>
      <c r="AM130" s="9"/>
      <c r="AN130" s="9"/>
      <c r="AO130" s="9"/>
      <c r="AP130" s="26"/>
      <c r="AQ130" s="29"/>
      <c r="AR130" s="29"/>
    </row>
    <row r="131" spans="1:44" x14ac:dyDescent="0.3">
      <c r="A131" s="24"/>
      <c r="B131" s="25"/>
      <c r="C131" s="26"/>
      <c r="D131" s="26"/>
      <c r="F131" s="27"/>
      <c r="G131" s="27"/>
      <c r="H131" s="26"/>
      <c r="I131" s="21"/>
      <c r="J131" s="9"/>
      <c r="K131" s="26"/>
      <c r="L131" s="21"/>
      <c r="M131" s="21"/>
      <c r="N131" s="9"/>
      <c r="O131" s="9"/>
      <c r="P131" s="22"/>
      <c r="Q131" s="18"/>
      <c r="R131" s="18"/>
      <c r="S131" s="18"/>
      <c r="T131" s="18"/>
      <c r="U131" s="21"/>
      <c r="V131" s="21"/>
      <c r="W131" s="22"/>
      <c r="X131" s="22"/>
      <c r="Y131" s="22"/>
      <c r="Z131" s="22"/>
      <c r="AA131" s="18"/>
      <c r="AB131" s="22"/>
      <c r="AC131" s="28"/>
      <c r="AD131" s="28"/>
      <c r="AE131" s="22"/>
      <c r="AF131" s="22"/>
      <c r="AG131" s="21"/>
      <c r="AH131" s="21"/>
      <c r="AI131" s="22"/>
      <c r="AJ131" s="22"/>
      <c r="AK131" s="9"/>
      <c r="AL131" s="9"/>
      <c r="AM131" s="9"/>
      <c r="AN131" s="9"/>
      <c r="AO131" s="9"/>
      <c r="AP131" s="26"/>
      <c r="AQ131" s="29"/>
      <c r="AR131" s="29"/>
    </row>
    <row r="132" spans="1:44" x14ac:dyDescent="0.3">
      <c r="A132" s="24"/>
      <c r="B132" s="25"/>
      <c r="C132" s="26"/>
      <c r="D132" s="26"/>
      <c r="F132" s="27"/>
      <c r="G132" s="27"/>
      <c r="H132" s="26"/>
      <c r="I132" s="21"/>
      <c r="J132" s="9"/>
      <c r="K132" s="26"/>
      <c r="L132" s="21"/>
      <c r="M132" s="21"/>
      <c r="N132" s="9"/>
      <c r="O132" s="9"/>
      <c r="P132" s="22"/>
      <c r="Q132" s="18"/>
      <c r="R132" s="18"/>
      <c r="S132" s="18"/>
      <c r="T132" s="18"/>
      <c r="U132" s="21"/>
      <c r="V132" s="21"/>
      <c r="W132" s="22"/>
      <c r="X132" s="22"/>
      <c r="Y132" s="22"/>
      <c r="Z132" s="22"/>
      <c r="AA132" s="18"/>
      <c r="AB132" s="22"/>
      <c r="AC132" s="28"/>
      <c r="AD132" s="28"/>
      <c r="AE132" s="22"/>
      <c r="AF132" s="22"/>
      <c r="AG132" s="21"/>
      <c r="AH132" s="21"/>
      <c r="AI132" s="22"/>
      <c r="AJ132" s="22"/>
      <c r="AK132" s="9"/>
      <c r="AL132" s="9"/>
      <c r="AM132" s="9"/>
      <c r="AN132" s="9"/>
      <c r="AO132" s="9"/>
      <c r="AP132" s="26"/>
      <c r="AQ132" s="29"/>
      <c r="AR132" s="29"/>
    </row>
    <row r="133" spans="1:44" x14ac:dyDescent="0.3">
      <c r="A133" s="24"/>
      <c r="B133" s="25"/>
      <c r="C133" s="26"/>
      <c r="D133" s="26"/>
      <c r="F133" s="27"/>
      <c r="G133" s="27"/>
      <c r="H133" s="26"/>
      <c r="I133" s="21"/>
      <c r="J133" s="9"/>
      <c r="K133" s="26"/>
      <c r="L133" s="21"/>
      <c r="M133" s="21"/>
      <c r="N133" s="9"/>
      <c r="O133" s="9"/>
      <c r="P133" s="22"/>
      <c r="Q133" s="18"/>
      <c r="R133" s="18"/>
      <c r="S133" s="18"/>
      <c r="T133" s="18"/>
      <c r="U133" s="21"/>
      <c r="V133" s="21"/>
      <c r="W133" s="22"/>
      <c r="X133" s="22"/>
      <c r="Y133" s="22"/>
      <c r="Z133" s="22"/>
      <c r="AA133" s="18"/>
      <c r="AB133" s="22"/>
      <c r="AC133" s="28"/>
      <c r="AD133" s="28"/>
      <c r="AE133" s="22"/>
      <c r="AF133" s="22"/>
      <c r="AG133" s="21"/>
      <c r="AH133" s="21"/>
      <c r="AI133" s="22"/>
      <c r="AJ133" s="22"/>
      <c r="AK133" s="9"/>
      <c r="AL133" s="9"/>
      <c r="AM133" s="9"/>
      <c r="AN133" s="9"/>
      <c r="AO133" s="9"/>
      <c r="AP133" s="26"/>
      <c r="AQ133" s="29"/>
      <c r="AR133" s="29"/>
    </row>
    <row r="134" spans="1:44" x14ac:dyDescent="0.3">
      <c r="A134" s="24"/>
      <c r="B134" s="25"/>
      <c r="C134" s="26"/>
      <c r="D134" s="26"/>
      <c r="F134" s="27"/>
      <c r="G134" s="27"/>
      <c r="H134" s="26"/>
      <c r="I134" s="21"/>
      <c r="J134" s="9"/>
      <c r="K134" s="26"/>
      <c r="L134" s="21"/>
      <c r="M134" s="21"/>
      <c r="N134" s="9"/>
      <c r="O134" s="9"/>
      <c r="P134" s="22"/>
      <c r="Q134" s="18"/>
      <c r="R134" s="18"/>
      <c r="S134" s="18"/>
      <c r="T134" s="18"/>
      <c r="U134" s="21"/>
      <c r="V134" s="21"/>
      <c r="W134" s="22"/>
      <c r="X134" s="22"/>
      <c r="Y134" s="22"/>
      <c r="Z134" s="22"/>
      <c r="AA134" s="18"/>
      <c r="AB134" s="22"/>
      <c r="AC134" s="28"/>
      <c r="AD134" s="28"/>
      <c r="AE134" s="22"/>
      <c r="AF134" s="22"/>
      <c r="AG134" s="21"/>
      <c r="AH134" s="21"/>
      <c r="AI134" s="22"/>
      <c r="AJ134" s="22"/>
      <c r="AK134" s="9"/>
      <c r="AL134" s="9"/>
      <c r="AM134" s="9"/>
      <c r="AN134" s="9"/>
      <c r="AO134" s="9"/>
      <c r="AP134" s="26"/>
      <c r="AQ134" s="29"/>
      <c r="AR134" s="29"/>
    </row>
    <row r="135" spans="1:44" x14ac:dyDescent="0.3">
      <c r="A135" s="24"/>
      <c r="B135" s="25"/>
      <c r="C135" s="26"/>
      <c r="D135" s="26"/>
      <c r="F135" s="27"/>
      <c r="G135" s="27"/>
      <c r="H135" s="26"/>
      <c r="I135" s="21"/>
      <c r="J135" s="9"/>
      <c r="K135" s="26"/>
      <c r="L135" s="21"/>
      <c r="M135" s="21"/>
      <c r="N135" s="9"/>
      <c r="O135" s="9"/>
      <c r="P135" s="22"/>
      <c r="Q135" s="18"/>
      <c r="R135" s="18"/>
      <c r="S135" s="18"/>
      <c r="T135" s="18"/>
      <c r="U135" s="21"/>
      <c r="V135" s="21"/>
      <c r="W135" s="22"/>
      <c r="X135" s="22"/>
      <c r="Y135" s="22"/>
      <c r="Z135" s="22"/>
      <c r="AA135" s="18"/>
      <c r="AB135" s="22"/>
      <c r="AC135" s="28"/>
      <c r="AD135" s="28"/>
      <c r="AE135" s="22"/>
      <c r="AF135" s="22"/>
      <c r="AG135" s="21"/>
      <c r="AH135" s="21"/>
      <c r="AI135" s="22"/>
      <c r="AJ135" s="22"/>
      <c r="AK135" s="9"/>
      <c r="AL135" s="9"/>
      <c r="AM135" s="9"/>
      <c r="AN135" s="9"/>
      <c r="AO135" s="9"/>
      <c r="AP135" s="26"/>
      <c r="AQ135" s="29"/>
      <c r="AR135" s="29"/>
    </row>
    <row r="136" spans="1:44" x14ac:dyDescent="0.3">
      <c r="A136" s="24"/>
      <c r="B136" s="25"/>
      <c r="C136" s="26"/>
      <c r="D136" s="26"/>
      <c r="F136" s="27"/>
      <c r="G136" s="27"/>
      <c r="H136" s="26"/>
      <c r="I136" s="21"/>
      <c r="J136" s="9"/>
      <c r="K136" s="26"/>
      <c r="L136" s="21"/>
      <c r="M136" s="21"/>
      <c r="N136" s="9"/>
      <c r="O136" s="9"/>
      <c r="P136" s="22"/>
      <c r="Q136" s="18"/>
      <c r="R136" s="18"/>
      <c r="S136" s="18"/>
      <c r="T136" s="18"/>
      <c r="U136" s="21"/>
      <c r="V136" s="21"/>
      <c r="W136" s="22"/>
      <c r="X136" s="22"/>
      <c r="Y136" s="22"/>
      <c r="Z136" s="22"/>
      <c r="AA136" s="18"/>
      <c r="AB136" s="22"/>
      <c r="AC136" s="28"/>
      <c r="AD136" s="28"/>
      <c r="AE136" s="22"/>
      <c r="AF136" s="22"/>
      <c r="AG136" s="21"/>
      <c r="AH136" s="21"/>
      <c r="AI136" s="22"/>
      <c r="AJ136" s="22"/>
      <c r="AK136" s="9"/>
      <c r="AL136" s="9"/>
      <c r="AM136" s="9"/>
      <c r="AN136" s="9"/>
      <c r="AO136" s="9"/>
      <c r="AP136" s="26"/>
      <c r="AQ136" s="29"/>
      <c r="AR136" s="29"/>
    </row>
    <row r="137" spans="1:44" x14ac:dyDescent="0.3">
      <c r="A137" s="24"/>
      <c r="B137" s="25"/>
      <c r="C137" s="26"/>
      <c r="D137" s="26"/>
      <c r="F137" s="27"/>
      <c r="G137" s="27"/>
      <c r="H137" s="26"/>
      <c r="I137" s="21"/>
      <c r="J137" s="9"/>
      <c r="K137" s="26"/>
      <c r="L137" s="21"/>
      <c r="M137" s="21"/>
      <c r="N137" s="9"/>
      <c r="O137" s="9"/>
      <c r="P137" s="22"/>
      <c r="Q137" s="18"/>
      <c r="R137" s="18"/>
      <c r="S137" s="18"/>
      <c r="T137" s="18"/>
      <c r="U137" s="21"/>
      <c r="V137" s="21"/>
      <c r="W137" s="22"/>
      <c r="X137" s="22"/>
      <c r="Y137" s="22"/>
      <c r="Z137" s="22"/>
      <c r="AA137" s="18"/>
      <c r="AB137" s="22"/>
      <c r="AC137" s="28"/>
      <c r="AD137" s="28"/>
      <c r="AE137" s="22"/>
      <c r="AF137" s="22"/>
      <c r="AG137" s="21"/>
      <c r="AH137" s="21"/>
      <c r="AI137" s="22"/>
      <c r="AJ137" s="22"/>
      <c r="AK137" s="9"/>
      <c r="AL137" s="9"/>
      <c r="AM137" s="9"/>
      <c r="AN137" s="9"/>
      <c r="AO137" s="9"/>
      <c r="AP137" s="26"/>
      <c r="AQ137" s="29"/>
      <c r="AR137" s="29"/>
    </row>
    <row r="138" spans="1:44" x14ac:dyDescent="0.3">
      <c r="A138" s="24"/>
      <c r="B138" s="25"/>
      <c r="C138" s="26"/>
      <c r="D138" s="26"/>
      <c r="F138" s="27"/>
      <c r="G138" s="27"/>
      <c r="H138" s="26"/>
      <c r="I138" s="21"/>
      <c r="J138" s="9"/>
      <c r="K138" s="26"/>
      <c r="L138" s="21"/>
      <c r="M138" s="21"/>
      <c r="N138" s="9"/>
      <c r="O138" s="9"/>
      <c r="P138" s="22"/>
      <c r="Q138" s="18"/>
      <c r="R138" s="18"/>
      <c r="S138" s="18"/>
      <c r="T138" s="18"/>
      <c r="U138" s="21"/>
      <c r="V138" s="21"/>
      <c r="W138" s="22"/>
      <c r="X138" s="22"/>
      <c r="Y138" s="22"/>
      <c r="Z138" s="22"/>
      <c r="AA138" s="18"/>
      <c r="AB138" s="22"/>
      <c r="AC138" s="28"/>
      <c r="AD138" s="28"/>
      <c r="AE138" s="22"/>
      <c r="AF138" s="22"/>
      <c r="AG138" s="21"/>
      <c r="AH138" s="21"/>
      <c r="AI138" s="22"/>
      <c r="AJ138" s="22"/>
      <c r="AK138" s="9"/>
      <c r="AL138" s="9"/>
      <c r="AM138" s="9"/>
      <c r="AN138" s="9"/>
      <c r="AO138" s="9"/>
      <c r="AP138" s="26"/>
      <c r="AQ138" s="29"/>
      <c r="AR138" s="29"/>
    </row>
    <row r="139" spans="1:44" x14ac:dyDescent="0.3">
      <c r="A139" s="24"/>
      <c r="B139" s="25"/>
      <c r="C139" s="26"/>
      <c r="D139" s="26"/>
      <c r="F139" s="27"/>
      <c r="G139" s="27"/>
      <c r="H139" s="26"/>
      <c r="I139" s="21"/>
      <c r="J139" s="9"/>
      <c r="K139" s="26"/>
      <c r="L139" s="21"/>
      <c r="M139" s="21"/>
      <c r="N139" s="9"/>
      <c r="O139" s="9"/>
      <c r="P139" s="22"/>
      <c r="Q139" s="18"/>
      <c r="R139" s="18"/>
      <c r="S139" s="18"/>
      <c r="T139" s="18"/>
      <c r="U139" s="21"/>
      <c r="V139" s="21"/>
      <c r="W139" s="22"/>
      <c r="X139" s="22"/>
      <c r="Y139" s="22"/>
      <c r="Z139" s="22"/>
      <c r="AA139" s="18"/>
      <c r="AB139" s="22"/>
      <c r="AC139" s="28"/>
      <c r="AD139" s="28"/>
      <c r="AE139" s="22"/>
      <c r="AF139" s="22"/>
      <c r="AG139" s="21"/>
      <c r="AH139" s="21"/>
      <c r="AI139" s="22"/>
      <c r="AJ139" s="22"/>
      <c r="AK139" s="9"/>
      <c r="AL139" s="9"/>
      <c r="AM139" s="9"/>
      <c r="AN139" s="9"/>
      <c r="AO139" s="9"/>
      <c r="AP139" s="26"/>
      <c r="AQ139" s="29"/>
      <c r="AR139" s="29"/>
    </row>
    <row r="140" spans="1:44" x14ac:dyDescent="0.3">
      <c r="C140" s="26"/>
      <c r="D140" s="26"/>
      <c r="F140" s="11"/>
      <c r="G140" s="11"/>
      <c r="J140" s="14"/>
      <c r="Z140" s="22"/>
      <c r="AC140" s="8"/>
      <c r="AD140" s="8"/>
      <c r="AQ140" s="13"/>
      <c r="AR140" s="13"/>
    </row>
    <row r="141" spans="1:44" x14ac:dyDescent="0.3">
      <c r="C141" s="26"/>
      <c r="D141" s="26"/>
      <c r="F141" s="11"/>
      <c r="G141" s="11"/>
      <c r="J141" s="14"/>
      <c r="Z141" s="22"/>
      <c r="AC141" s="8"/>
      <c r="AD141" s="8"/>
      <c r="AQ141" s="13"/>
      <c r="AR141" s="13"/>
    </row>
    <row r="142" spans="1:44" x14ac:dyDescent="0.3">
      <c r="F142" s="11"/>
      <c r="G142" s="11"/>
      <c r="AC142" s="8"/>
      <c r="AD142" s="8"/>
      <c r="AQ142" s="13"/>
      <c r="AR142" s="13"/>
    </row>
    <row r="143" spans="1:44" x14ac:dyDescent="0.3">
      <c r="F143" s="11"/>
      <c r="G143" s="11"/>
      <c r="AC143" s="8"/>
      <c r="AD143" s="8"/>
      <c r="AQ143" s="13"/>
      <c r="AR143" s="13"/>
    </row>
    <row r="144" spans="1:44" s="7" customFormat="1" x14ac:dyDescent="0.3">
      <c r="A144" s="5"/>
      <c r="B144" s="12"/>
      <c r="C144"/>
      <c r="D144"/>
      <c r="E144"/>
      <c r="F144" s="11"/>
      <c r="G144" s="11"/>
      <c r="H144"/>
      <c r="I144" s="2"/>
      <c r="J144" s="1"/>
      <c r="K144"/>
      <c r="L144" s="2"/>
      <c r="M144" s="2"/>
      <c r="N144" s="1"/>
      <c r="O144" s="1"/>
      <c r="P144" s="3"/>
      <c r="Q144" s="4"/>
      <c r="R144" s="4"/>
      <c r="S144" s="4"/>
      <c r="T144" s="4"/>
      <c r="U144" s="2"/>
      <c r="V144" s="2"/>
      <c r="W144" s="3"/>
      <c r="X144" s="3"/>
      <c r="Y144" s="3"/>
      <c r="Z144" s="3"/>
      <c r="AA144" s="4"/>
      <c r="AB144" s="3"/>
      <c r="AC144" s="8"/>
      <c r="AD144" s="8"/>
      <c r="AE144" s="3"/>
      <c r="AF144" s="3"/>
      <c r="AG144" s="2"/>
      <c r="AH144" s="2"/>
      <c r="AI144" s="3"/>
      <c r="AJ144" s="3"/>
      <c r="AK144" s="1"/>
      <c r="AL144" s="1"/>
      <c r="AM144" s="1"/>
      <c r="AN144" s="1"/>
      <c r="AO144" s="1"/>
      <c r="AP144"/>
      <c r="AQ144" s="13"/>
      <c r="AR144" s="13"/>
    </row>
    <row r="145" spans="1:44" x14ac:dyDescent="0.3">
      <c r="F145" s="11"/>
      <c r="G145" s="11"/>
      <c r="AC145" s="8"/>
      <c r="AD145" s="8"/>
      <c r="AQ145" s="13"/>
      <c r="AR145" s="13"/>
    </row>
    <row r="146" spans="1:44" x14ac:dyDescent="0.3">
      <c r="F146" s="11"/>
      <c r="G146" s="11"/>
      <c r="R146" s="40"/>
      <c r="S146" s="40"/>
      <c r="T146" s="6"/>
      <c r="U146" s="6"/>
      <c r="V146" s="6"/>
      <c r="W146" s="8"/>
      <c r="X146" s="8"/>
      <c r="Y146" s="8"/>
      <c r="Z146" s="8"/>
      <c r="AA146" s="40"/>
      <c r="AB146" s="8"/>
      <c r="AC146" s="6"/>
      <c r="AD146" s="8"/>
      <c r="AE146" s="8"/>
      <c r="AF146" s="6"/>
      <c r="AG146" s="6"/>
      <c r="AH146" s="41"/>
      <c r="AI146" s="6"/>
      <c r="AQ146" s="13"/>
      <c r="AR146" s="13"/>
    </row>
    <row r="147" spans="1:44" x14ac:dyDescent="0.3">
      <c r="F147" s="11"/>
      <c r="G147" s="11"/>
      <c r="R147" s="40"/>
      <c r="S147" s="6"/>
      <c r="T147" s="6"/>
      <c r="U147" s="6"/>
      <c r="V147" s="6"/>
      <c r="W147" s="8"/>
      <c r="X147" s="8"/>
      <c r="Y147" s="8"/>
      <c r="Z147" s="8"/>
      <c r="AA147" s="40"/>
      <c r="AB147" s="6"/>
      <c r="AC147" s="6"/>
      <c r="AD147" s="6"/>
      <c r="AE147" s="6"/>
      <c r="AF147" s="6"/>
      <c r="AG147" s="6"/>
      <c r="AH147" s="41"/>
      <c r="AI147" s="6"/>
      <c r="AQ147" s="13"/>
      <c r="AR147" s="13"/>
    </row>
    <row r="148" spans="1:44" x14ac:dyDescent="0.3">
      <c r="F148" s="55"/>
      <c r="G148" s="55"/>
      <c r="N148" s="39"/>
      <c r="O148" s="6"/>
      <c r="R148" s="6"/>
      <c r="S148" s="40"/>
      <c r="AB148" s="6"/>
      <c r="AC148" s="6"/>
      <c r="AD148" s="6"/>
      <c r="AE148" s="8"/>
      <c r="AF148" s="8"/>
      <c r="AQ148" s="13"/>
      <c r="AR148" s="13"/>
    </row>
    <row r="149" spans="1:44" x14ac:dyDescent="0.3">
      <c r="F149" s="11"/>
      <c r="G149" s="11"/>
      <c r="J149" s="14"/>
      <c r="AC149" s="8"/>
      <c r="AD149" s="8"/>
      <c r="AQ149" s="13"/>
      <c r="AR149" s="13"/>
    </row>
    <row r="150" spans="1:44" x14ac:dyDescent="0.3">
      <c r="F150" s="11"/>
      <c r="G150" s="11"/>
      <c r="J150" s="14"/>
      <c r="AC150" s="8"/>
      <c r="AD150" s="8"/>
      <c r="AQ150" s="13"/>
      <c r="AR150" s="13"/>
    </row>
    <row r="152" spans="1:44" x14ac:dyDescent="0.3">
      <c r="R152" s="40"/>
      <c r="S152" s="6"/>
      <c r="U152" s="6"/>
      <c r="V152" s="6"/>
      <c r="W152" s="8"/>
      <c r="X152" s="8"/>
      <c r="Y152" s="8"/>
      <c r="Z152" s="8"/>
      <c r="AA152" s="40"/>
      <c r="AB152" s="8"/>
      <c r="AC152" s="6"/>
      <c r="AD152" s="6"/>
      <c r="AE152" s="6"/>
      <c r="AF152" s="6"/>
      <c r="AG152" s="6"/>
      <c r="AH152" s="41"/>
      <c r="AI152" s="6"/>
    </row>
    <row r="153" spans="1:44" s="7" customFormat="1" x14ac:dyDescent="0.3">
      <c r="A153" s="5"/>
      <c r="B153" s="12"/>
      <c r="C153"/>
      <c r="D153"/>
      <c r="E153"/>
      <c r="F153"/>
      <c r="G153"/>
      <c r="H153"/>
      <c r="I153" s="2"/>
      <c r="J153" s="1"/>
      <c r="K153"/>
      <c r="L153" s="2"/>
      <c r="M153" s="2"/>
      <c r="N153" s="1"/>
      <c r="O153" s="1"/>
      <c r="P153" s="3"/>
      <c r="Q153" s="4"/>
      <c r="R153" s="40"/>
      <c r="S153" s="6"/>
      <c r="T153" s="4"/>
      <c r="U153" s="6"/>
      <c r="V153" s="6"/>
      <c r="W153" s="8"/>
      <c r="X153" s="8"/>
      <c r="Y153" s="8"/>
      <c r="Z153" s="8"/>
      <c r="AA153" s="40"/>
      <c r="AB153" s="6"/>
      <c r="AC153" s="6"/>
      <c r="AD153" s="8"/>
      <c r="AE153" s="8"/>
      <c r="AF153" s="6"/>
      <c r="AG153" s="6"/>
      <c r="AH153" s="41"/>
      <c r="AI153" s="6"/>
      <c r="AJ153" s="3"/>
      <c r="AK153" s="1"/>
      <c r="AL153" s="1"/>
      <c r="AM153" s="1"/>
      <c r="AN153" s="1"/>
      <c r="AO153" s="1"/>
      <c r="AP153"/>
      <c r="AQ153"/>
      <c r="AR153"/>
    </row>
    <row r="154" spans="1:44" x14ac:dyDescent="0.3">
      <c r="F154" s="11"/>
      <c r="G154" s="11"/>
      <c r="J154" s="14"/>
      <c r="AC154" s="8"/>
      <c r="AD154" s="8"/>
      <c r="AQ154" s="13"/>
      <c r="AR154" s="13"/>
    </row>
    <row r="155" spans="1:44" x14ac:dyDescent="0.3">
      <c r="F155" s="11"/>
      <c r="G155" s="11"/>
      <c r="J155" s="14"/>
      <c r="AC155" s="8"/>
      <c r="AD155" s="8"/>
      <c r="AQ155" s="13"/>
      <c r="AR155" s="13"/>
    </row>
    <row r="156" spans="1:44" x14ac:dyDescent="0.3">
      <c r="F156" s="11"/>
      <c r="G156" s="11"/>
      <c r="J156" s="14"/>
      <c r="AC156" s="8"/>
      <c r="AD156" s="8"/>
      <c r="AQ156" s="13"/>
      <c r="AR156" s="13"/>
    </row>
    <row r="157" spans="1:44" x14ac:dyDescent="0.3">
      <c r="F157" s="11"/>
      <c r="G157" s="11"/>
      <c r="J157" s="14"/>
      <c r="AC157" s="8"/>
      <c r="AD157" s="8"/>
      <c r="AQ157" s="13"/>
      <c r="AR157" s="13"/>
    </row>
    <row r="158" spans="1:44" x14ac:dyDescent="0.3">
      <c r="F158" s="11"/>
      <c r="G158" s="11"/>
      <c r="J158" s="14"/>
      <c r="AC158" s="8"/>
      <c r="AD158" s="8"/>
      <c r="AQ158" s="13"/>
      <c r="AR158" s="13"/>
    </row>
    <row r="159" spans="1:44" x14ac:dyDescent="0.3">
      <c r="F159" s="11"/>
      <c r="G159" s="11"/>
      <c r="J159" s="14"/>
      <c r="Z159" s="22"/>
      <c r="AC159" s="8"/>
      <c r="AD159" s="8"/>
      <c r="AQ159" s="13"/>
      <c r="AR159" s="13"/>
    </row>
    <row r="160" spans="1:44" x14ac:dyDescent="0.3">
      <c r="F160" s="11"/>
      <c r="G160" s="11"/>
      <c r="J160" s="14"/>
      <c r="Z160" s="22"/>
      <c r="AC160" s="8"/>
      <c r="AD160" s="8"/>
      <c r="AQ160" s="13"/>
      <c r="AR160" s="13"/>
    </row>
    <row r="161" spans="1:44" x14ac:dyDescent="0.3">
      <c r="F161" s="11"/>
      <c r="G161" s="11"/>
      <c r="J161" s="14"/>
      <c r="Z161" s="22"/>
      <c r="AC161" s="8"/>
      <c r="AD161" s="8"/>
      <c r="AQ161" s="13"/>
      <c r="AR161" s="13"/>
    </row>
    <row r="162" spans="1:44" x14ac:dyDescent="0.3">
      <c r="F162" s="11"/>
      <c r="G162" s="11"/>
      <c r="J162" s="14"/>
      <c r="Z162" s="22"/>
      <c r="AC162" s="8"/>
      <c r="AD162" s="8"/>
      <c r="AQ162" s="13"/>
      <c r="AR162" s="13"/>
    </row>
    <row r="164" spans="1:44" x14ac:dyDescent="0.3">
      <c r="R164" s="40"/>
      <c r="S164" s="6"/>
      <c r="U164" s="6"/>
      <c r="V164" s="6"/>
      <c r="W164" s="8"/>
      <c r="X164" s="8"/>
      <c r="Y164" s="8"/>
      <c r="Z164" s="8"/>
      <c r="AA164" s="40"/>
      <c r="AB164" s="8"/>
      <c r="AC164" s="8"/>
      <c r="AD164" s="8"/>
      <c r="AE164" s="8"/>
      <c r="AF164" s="8"/>
      <c r="AG164" s="6"/>
      <c r="AH164" s="41"/>
      <c r="AI164" s="6"/>
    </row>
    <row r="165" spans="1:44" x14ac:dyDescent="0.3">
      <c r="F165" s="11"/>
      <c r="G165" s="11"/>
      <c r="AC165" s="8"/>
      <c r="AD165" s="8"/>
      <c r="AQ165" s="13"/>
      <c r="AR165" s="13"/>
    </row>
    <row r="166" spans="1:44" x14ac:dyDescent="0.3">
      <c r="F166" s="11"/>
      <c r="G166" s="11"/>
      <c r="R166" s="6"/>
      <c r="S166" s="40"/>
      <c r="U166" s="6"/>
      <c r="V166" s="6"/>
      <c r="W166" s="8"/>
      <c r="X166" s="8"/>
      <c r="Y166" s="8"/>
      <c r="Z166" s="8"/>
      <c r="AA166" s="40"/>
      <c r="AB166" s="8"/>
      <c r="AC166" s="6"/>
      <c r="AD166" s="8"/>
      <c r="AE166" s="8"/>
      <c r="AF166" s="8"/>
      <c r="AG166" s="6"/>
      <c r="AH166" s="41"/>
      <c r="AI166" s="6"/>
      <c r="AQ166" s="13"/>
      <c r="AR166" s="13"/>
    </row>
    <row r="167" spans="1:44" x14ac:dyDescent="0.3">
      <c r="F167" s="11"/>
      <c r="G167" s="11"/>
      <c r="L167" s="17"/>
      <c r="N167" s="14"/>
      <c r="AC167" s="6"/>
      <c r="AD167" s="8"/>
      <c r="AE167" s="8"/>
      <c r="AF167" s="8"/>
      <c r="AI167" s="6"/>
      <c r="AQ167" s="13"/>
      <c r="AR167" s="13"/>
    </row>
    <row r="169" spans="1:44" x14ac:dyDescent="0.3">
      <c r="F169" s="11"/>
      <c r="G169" s="11"/>
      <c r="R169" s="40"/>
      <c r="S169" s="40"/>
      <c r="U169" s="6"/>
      <c r="V169" s="6"/>
      <c r="W169" s="8"/>
      <c r="X169" s="8"/>
      <c r="Y169" s="8"/>
      <c r="Z169" s="8"/>
      <c r="AA169" s="40"/>
      <c r="AB169" s="8"/>
      <c r="AC169" s="8"/>
      <c r="AD169" s="8"/>
      <c r="AE169" s="8"/>
      <c r="AF169" s="8"/>
      <c r="AG169" s="6"/>
      <c r="AH169" s="41"/>
      <c r="AI169" s="6"/>
      <c r="AQ169" s="13"/>
      <c r="AR169" s="13"/>
    </row>
    <row r="170" spans="1:44" x14ac:dyDescent="0.3">
      <c r="AB170" s="6"/>
      <c r="AC170" s="6"/>
      <c r="AD170" s="8"/>
      <c r="AE170" s="8"/>
      <c r="AF170" s="8"/>
      <c r="AG170" s="6"/>
      <c r="AH170" s="41"/>
      <c r="AI170" s="6"/>
    </row>
    <row r="171" spans="1:44" x14ac:dyDescent="0.3">
      <c r="F171" s="11"/>
      <c r="G171" s="11"/>
      <c r="J171" s="9"/>
      <c r="Z171" s="22"/>
      <c r="AC171" s="8"/>
      <c r="AD171" s="8"/>
      <c r="AQ171" s="13"/>
      <c r="AR171" s="13"/>
    </row>
    <row r="172" spans="1:44" x14ac:dyDescent="0.3">
      <c r="F172" s="11"/>
      <c r="G172" s="11"/>
      <c r="J172" s="9"/>
      <c r="Z172" s="22"/>
      <c r="AC172" s="8"/>
      <c r="AD172" s="8"/>
      <c r="AQ172" s="13"/>
      <c r="AR172" s="13"/>
    </row>
    <row r="173" spans="1:44" x14ac:dyDescent="0.3">
      <c r="F173" s="11"/>
      <c r="G173" s="11"/>
      <c r="J173" s="9"/>
      <c r="Z173" s="22"/>
      <c r="AC173" s="8"/>
      <c r="AD173" s="8"/>
      <c r="AQ173" s="13"/>
      <c r="AR173" s="13"/>
    </row>
    <row r="174" spans="1:44" s="7" customFormat="1" x14ac:dyDescent="0.3">
      <c r="A174" s="5"/>
      <c r="B174" s="12"/>
      <c r="C174"/>
      <c r="D174"/>
      <c r="E174"/>
      <c r="F174" s="11"/>
      <c r="G174" s="11"/>
      <c r="H174"/>
      <c r="I174" s="2"/>
      <c r="J174" s="9"/>
      <c r="K174"/>
      <c r="L174" s="2"/>
      <c r="M174" s="2"/>
      <c r="N174" s="1"/>
      <c r="O174" s="1"/>
      <c r="P174" s="3"/>
      <c r="Q174" s="4"/>
      <c r="R174" s="4"/>
      <c r="S174" s="4"/>
      <c r="T174" s="4"/>
      <c r="U174" s="2"/>
      <c r="V174" s="2"/>
      <c r="W174" s="3"/>
      <c r="X174" s="3"/>
      <c r="Y174" s="3"/>
      <c r="Z174" s="22"/>
      <c r="AA174" s="4"/>
      <c r="AB174" s="3"/>
      <c r="AC174" s="8"/>
      <c r="AD174" s="8"/>
      <c r="AE174" s="3"/>
      <c r="AF174" s="3"/>
      <c r="AG174" s="2"/>
      <c r="AH174" s="2"/>
      <c r="AI174" s="3"/>
      <c r="AJ174" s="3"/>
      <c r="AK174" s="1"/>
      <c r="AL174" s="1"/>
      <c r="AM174" s="1"/>
      <c r="AN174" s="1"/>
      <c r="AO174" s="1"/>
      <c r="AP174"/>
      <c r="AQ174" s="13"/>
      <c r="AR174" s="13"/>
    </row>
    <row r="175" spans="1:44" x14ac:dyDescent="0.3">
      <c r="F175" s="11"/>
      <c r="G175" s="11"/>
      <c r="J175" s="9"/>
      <c r="Z175" s="22"/>
      <c r="AC175" s="8"/>
      <c r="AD175" s="8"/>
      <c r="AQ175" s="13"/>
      <c r="AR175" s="13"/>
    </row>
    <row r="176" spans="1:44" x14ac:dyDescent="0.3">
      <c r="F176" s="11"/>
      <c r="G176" s="11"/>
      <c r="J176" s="9"/>
      <c r="Z176" s="22"/>
      <c r="AC176" s="8"/>
      <c r="AD176" s="8"/>
      <c r="AQ176" s="13"/>
      <c r="AR176" s="13"/>
    </row>
    <row r="177" spans="5:44" x14ac:dyDescent="0.3">
      <c r="F177" s="11"/>
      <c r="G177" s="11"/>
      <c r="J177" s="9"/>
      <c r="Z177" s="22"/>
      <c r="AC177" s="8"/>
      <c r="AD177" s="8"/>
      <c r="AQ177" s="13"/>
      <c r="AR177" s="13"/>
    </row>
    <row r="178" spans="5:44" x14ac:dyDescent="0.3">
      <c r="E178" s="53"/>
      <c r="O178" s="6"/>
      <c r="R178" s="6"/>
      <c r="S178" s="40"/>
      <c r="U178" s="6"/>
      <c r="V178" s="6"/>
      <c r="W178" s="8"/>
      <c r="X178" s="8"/>
      <c r="Y178" s="8"/>
      <c r="Z178" s="8"/>
      <c r="AA178" s="40"/>
      <c r="AB178" s="6"/>
      <c r="AC178" s="6"/>
      <c r="AD178" s="8"/>
      <c r="AE178" s="8"/>
      <c r="AF178" s="6"/>
      <c r="AG178" s="6"/>
      <c r="AH178" s="41"/>
      <c r="AI178" s="6"/>
    </row>
    <row r="180" spans="5:44" x14ac:dyDescent="0.3">
      <c r="R180" s="40"/>
      <c r="S180" s="40"/>
      <c r="U180" s="6"/>
      <c r="V180" s="6"/>
      <c r="W180" s="8"/>
      <c r="X180" s="8"/>
      <c r="Y180" s="8"/>
      <c r="Z180" s="8"/>
      <c r="AA180" s="40"/>
      <c r="AB180" s="8"/>
      <c r="AC180" s="6"/>
      <c r="AD180" s="8"/>
      <c r="AE180" s="8"/>
      <c r="AF180" s="6"/>
      <c r="AG180" s="6"/>
      <c r="AH180" s="41"/>
      <c r="AI180" s="6"/>
    </row>
    <row r="181" spans="5:44" x14ac:dyDescent="0.3">
      <c r="AA181" s="6"/>
      <c r="AB181" s="6"/>
      <c r="AC181" s="6"/>
      <c r="AD181" s="8"/>
      <c r="AE181" s="8"/>
      <c r="AF181" s="6"/>
    </row>
    <row r="182" spans="5:44" x14ac:dyDescent="0.3">
      <c r="F182" s="11"/>
      <c r="G182" s="11"/>
      <c r="R182" s="40"/>
      <c r="S182" s="40"/>
      <c r="U182" s="6"/>
      <c r="V182" s="6"/>
      <c r="W182" s="8"/>
      <c r="X182" s="8"/>
      <c r="Y182" s="8"/>
      <c r="Z182" s="8"/>
      <c r="AA182" s="6"/>
      <c r="AB182" s="6"/>
      <c r="AC182" s="8"/>
      <c r="AD182" s="8"/>
      <c r="AE182" s="8"/>
      <c r="AF182" s="8"/>
      <c r="AG182" s="6"/>
      <c r="AH182" s="41"/>
      <c r="AI182" s="6"/>
    </row>
    <row r="183" spans="5:44" x14ac:dyDescent="0.3">
      <c r="F183" s="11"/>
      <c r="G183" s="11"/>
      <c r="R183" s="40"/>
      <c r="S183" s="40"/>
      <c r="U183" s="6"/>
      <c r="V183" s="6"/>
      <c r="W183" s="8"/>
      <c r="X183" s="8"/>
      <c r="Y183" s="8"/>
      <c r="Z183" s="8"/>
      <c r="AA183" s="6"/>
      <c r="AB183" s="6"/>
      <c r="AC183" s="6"/>
      <c r="AD183" s="6"/>
      <c r="AE183" s="8"/>
      <c r="AF183" s="8"/>
      <c r="AG183" s="6"/>
      <c r="AH183" s="41"/>
      <c r="AI183" s="6"/>
    </row>
    <row r="184" spans="5:44" x14ac:dyDescent="0.3">
      <c r="F184" s="11"/>
      <c r="G184" s="11"/>
      <c r="R184" s="40"/>
      <c r="S184" s="40"/>
      <c r="U184" s="6"/>
      <c r="V184" s="6"/>
      <c r="W184" s="8"/>
      <c r="X184" s="8"/>
      <c r="Y184" s="8"/>
      <c r="Z184" s="8"/>
      <c r="AA184" s="6"/>
      <c r="AB184" s="6"/>
      <c r="AC184" s="6"/>
      <c r="AD184" s="8"/>
      <c r="AE184" s="6"/>
      <c r="AF184" s="8"/>
      <c r="AG184" s="6"/>
      <c r="AH184" s="41"/>
      <c r="AI184" s="6"/>
    </row>
    <row r="185" spans="5:44" x14ac:dyDescent="0.3">
      <c r="F185" s="11"/>
      <c r="G185" s="11"/>
      <c r="R185" s="40"/>
      <c r="S185" s="40"/>
      <c r="U185" s="6"/>
      <c r="V185" s="6"/>
      <c r="W185" s="8"/>
      <c r="X185" s="8"/>
      <c r="Y185" s="8"/>
      <c r="Z185" s="8"/>
      <c r="AA185" s="6"/>
      <c r="AB185" s="6"/>
      <c r="AC185" s="6"/>
      <c r="AD185" s="8"/>
      <c r="AE185" s="8"/>
      <c r="AF185" s="8"/>
      <c r="AG185" s="6"/>
      <c r="AH185" s="41"/>
      <c r="AI185" s="6"/>
    </row>
    <row r="186" spans="5:44" x14ac:dyDescent="0.3">
      <c r="F186" s="11"/>
      <c r="G186" s="11"/>
      <c r="R186" s="40"/>
      <c r="S186" s="40"/>
      <c r="U186" s="6"/>
      <c r="V186" s="6"/>
      <c r="W186" s="8"/>
      <c r="X186" s="8"/>
      <c r="Y186" s="8"/>
      <c r="Z186" s="8"/>
      <c r="AA186" s="6"/>
      <c r="AB186" s="6"/>
      <c r="AC186" s="6"/>
      <c r="AD186" s="8"/>
      <c r="AE186" s="8"/>
      <c r="AF186" s="8"/>
      <c r="AG186" s="6"/>
      <c r="AH186" s="41"/>
      <c r="AI186" s="6"/>
      <c r="AQ186" s="13"/>
      <c r="AR186" s="13"/>
    </row>
    <row r="187" spans="5:44" x14ac:dyDescent="0.3">
      <c r="F187" s="11"/>
      <c r="G187" s="11"/>
      <c r="R187" s="40"/>
      <c r="S187" s="40"/>
      <c r="U187" s="6"/>
      <c r="V187" s="6"/>
      <c r="W187" s="8"/>
      <c r="X187" s="8"/>
      <c r="Y187" s="8"/>
      <c r="Z187" s="8"/>
      <c r="AA187" s="6"/>
      <c r="AB187" s="6"/>
      <c r="AC187" s="6"/>
      <c r="AD187" s="8"/>
      <c r="AE187" s="8"/>
      <c r="AF187" s="8"/>
      <c r="AG187" s="6"/>
      <c r="AH187" s="41"/>
      <c r="AI187" s="6"/>
      <c r="AQ187" s="13"/>
      <c r="AR187" s="13"/>
    </row>
    <row r="188" spans="5:44" x14ac:dyDescent="0.3">
      <c r="R188" s="6"/>
      <c r="S188" s="40"/>
      <c r="U188" s="6"/>
      <c r="V188" s="6"/>
      <c r="W188" s="8"/>
      <c r="X188" s="8"/>
      <c r="Y188" s="8"/>
      <c r="Z188" s="8"/>
      <c r="AA188" s="6"/>
      <c r="AB188" s="6"/>
      <c r="AC188" s="6"/>
      <c r="AD188" s="8"/>
      <c r="AE188" s="8"/>
      <c r="AF188" s="6"/>
      <c r="AG188" s="6"/>
      <c r="AH188" s="41"/>
      <c r="AI188" s="6"/>
    </row>
    <row r="189" spans="5:44" x14ac:dyDescent="0.3">
      <c r="R189" s="6"/>
      <c r="S189" s="40"/>
      <c r="U189" s="6"/>
      <c r="V189" s="6"/>
      <c r="W189" s="8"/>
      <c r="X189" s="8"/>
      <c r="Y189" s="8"/>
      <c r="Z189" s="8"/>
      <c r="AA189" s="6"/>
      <c r="AB189" s="6"/>
      <c r="AC189" s="6"/>
      <c r="AD189" s="8"/>
      <c r="AE189" s="8"/>
      <c r="AF189" s="6"/>
      <c r="AG189" s="6"/>
      <c r="AH189" s="41"/>
      <c r="AI189" s="6"/>
    </row>
    <row r="191" spans="5:44" x14ac:dyDescent="0.3">
      <c r="F191" s="11"/>
      <c r="G191" s="11"/>
      <c r="AC191" s="8"/>
      <c r="AD191" s="8"/>
    </row>
    <row r="192" spans="5:44" x14ac:dyDescent="0.3">
      <c r="R192" s="40"/>
      <c r="S192" s="40"/>
      <c r="U192" s="6"/>
      <c r="V192" s="6"/>
      <c r="W192" s="6"/>
      <c r="X192" s="6"/>
      <c r="Y192" s="6"/>
      <c r="Z192" s="6"/>
      <c r="AA192" s="40"/>
      <c r="AB192" s="8"/>
      <c r="AC192" s="6"/>
      <c r="AD192" s="6"/>
      <c r="AE192" s="8"/>
      <c r="AF192" s="6"/>
      <c r="AG192" s="6"/>
      <c r="AH192" s="6"/>
      <c r="AI192" s="6"/>
    </row>
    <row r="193" spans="1:44" x14ac:dyDescent="0.3">
      <c r="F193" s="11"/>
      <c r="G193" s="11"/>
      <c r="J193" s="9"/>
      <c r="Y193" s="52"/>
      <c r="AC193" s="8"/>
      <c r="AD193" s="8"/>
      <c r="AQ193" s="13"/>
      <c r="AR193" s="13"/>
    </row>
    <row r="194" spans="1:44" x14ac:dyDescent="0.3">
      <c r="F194" s="11"/>
      <c r="G194" s="11"/>
      <c r="J194" s="9"/>
      <c r="Y194" s="52"/>
      <c r="AC194" s="8"/>
      <c r="AD194" s="8"/>
      <c r="AQ194" s="13"/>
      <c r="AR194" s="13"/>
    </row>
    <row r="195" spans="1:44" x14ac:dyDescent="0.3">
      <c r="F195" s="11"/>
      <c r="G195" s="11"/>
      <c r="Y195" s="52"/>
      <c r="AC195" s="8"/>
      <c r="AD195" s="8"/>
      <c r="AQ195" s="13"/>
      <c r="AR195" s="13"/>
    </row>
    <row r="196" spans="1:44" x14ac:dyDescent="0.3">
      <c r="F196" s="11"/>
      <c r="G196" s="11"/>
      <c r="Y196" s="52"/>
      <c r="AC196" s="8"/>
      <c r="AD196" s="8"/>
      <c r="AQ196" s="13"/>
      <c r="AR196" s="13"/>
    </row>
    <row r="197" spans="1:44" x14ac:dyDescent="0.3">
      <c r="F197" s="11"/>
      <c r="G197" s="11"/>
      <c r="J197" s="9"/>
      <c r="Y197" s="52"/>
      <c r="AC197" s="8"/>
      <c r="AD197" s="8"/>
      <c r="AQ197" s="13"/>
      <c r="AR197" s="13"/>
    </row>
    <row r="198" spans="1:44" x14ac:dyDescent="0.3">
      <c r="F198" s="11"/>
      <c r="G198" s="11"/>
      <c r="J198" s="9"/>
      <c r="Y198" s="52"/>
      <c r="AC198" s="8"/>
      <c r="AD198" s="8"/>
      <c r="AQ198" s="13"/>
      <c r="AR198" s="13"/>
    </row>
    <row r="199" spans="1:44" x14ac:dyDescent="0.3">
      <c r="F199" s="11"/>
      <c r="G199" s="11"/>
      <c r="N199" s="39"/>
      <c r="AC199" s="8"/>
      <c r="AD199" s="8"/>
    </row>
    <row r="200" spans="1:44" x14ac:dyDescent="0.3">
      <c r="F200" s="11"/>
      <c r="G200" s="11"/>
      <c r="AC200" s="8"/>
      <c r="AD200" s="8"/>
    </row>
    <row r="201" spans="1:44" x14ac:dyDescent="0.3">
      <c r="F201" s="11"/>
      <c r="G201" s="11"/>
      <c r="N201" s="39"/>
      <c r="R201" s="6"/>
      <c r="S201" s="40"/>
      <c r="U201" s="6"/>
      <c r="V201" s="6"/>
      <c r="W201" s="8"/>
      <c r="X201" s="8"/>
      <c r="Y201" s="8"/>
      <c r="Z201" s="8"/>
      <c r="AA201" s="40"/>
      <c r="AB201" s="6"/>
      <c r="AC201" s="6"/>
      <c r="AD201" s="8"/>
      <c r="AE201" s="6"/>
      <c r="AF201" s="6"/>
      <c r="AG201" s="6"/>
      <c r="AH201" s="41"/>
      <c r="AI201" s="6"/>
    </row>
    <row r="202" spans="1:44" x14ac:dyDescent="0.3">
      <c r="F202" s="11"/>
      <c r="G202" s="11"/>
      <c r="N202" s="39"/>
      <c r="AA202" s="40"/>
      <c r="AB202" s="8"/>
      <c r="AC202" s="6"/>
      <c r="AD202" s="8"/>
      <c r="AE202" s="6"/>
      <c r="AF202" s="8"/>
      <c r="AI202" s="6"/>
    </row>
    <row r="203" spans="1:44" x14ac:dyDescent="0.3">
      <c r="T203" s="18"/>
      <c r="X203" s="22"/>
    </row>
    <row r="204" spans="1:44" x14ac:dyDescent="0.3">
      <c r="T204" s="18"/>
      <c r="X204" s="22"/>
    </row>
    <row r="205" spans="1:44" x14ac:dyDescent="0.3">
      <c r="O205" s="6"/>
      <c r="T205" s="18"/>
      <c r="X205" s="22"/>
      <c r="AB205" s="6"/>
      <c r="AC205" s="6"/>
      <c r="AD205" s="8"/>
      <c r="AE205" s="8"/>
      <c r="AF205" s="6"/>
    </row>
    <row r="206" spans="1:44" x14ac:dyDescent="0.3">
      <c r="T206" s="10"/>
      <c r="X206" s="22"/>
    </row>
    <row r="207" spans="1:44" x14ac:dyDescent="0.3">
      <c r="T207" s="18"/>
      <c r="X207" s="22"/>
    </row>
    <row r="208" spans="1:44" s="7" customFormat="1" x14ac:dyDescent="0.3">
      <c r="A208" s="5"/>
      <c r="B208" s="12"/>
      <c r="C208"/>
      <c r="D208"/>
      <c r="E208"/>
      <c r="F208"/>
      <c r="G208"/>
      <c r="H208"/>
      <c r="I208" s="2"/>
      <c r="J208" s="1"/>
      <c r="K208"/>
      <c r="L208" s="2"/>
      <c r="M208" s="2"/>
      <c r="N208" s="1"/>
      <c r="O208" s="1"/>
      <c r="P208" s="3"/>
      <c r="Q208" s="4"/>
      <c r="R208" s="6"/>
      <c r="S208" s="6"/>
      <c r="T208" s="18"/>
      <c r="U208" s="6"/>
      <c r="V208" s="6"/>
      <c r="W208" s="8"/>
      <c r="X208" s="8"/>
      <c r="Y208" s="8"/>
      <c r="Z208" s="8"/>
      <c r="AA208" s="40"/>
      <c r="AB208" s="6"/>
      <c r="AC208" s="6"/>
      <c r="AD208" s="8"/>
      <c r="AE208" s="8"/>
      <c r="AF208" s="6"/>
      <c r="AG208" s="6"/>
      <c r="AH208" s="41"/>
      <c r="AI208" s="6"/>
      <c r="AJ208" s="3"/>
      <c r="AK208" s="1"/>
      <c r="AL208" s="1"/>
      <c r="AM208" s="1"/>
      <c r="AN208" s="1"/>
      <c r="AO208" s="1"/>
      <c r="AP208"/>
      <c r="AQ208"/>
      <c r="AR208"/>
    </row>
    <row r="209" spans="6:44" x14ac:dyDescent="0.3">
      <c r="T209" s="18"/>
      <c r="X209" s="22"/>
      <c r="AA209" s="40"/>
      <c r="AB209" s="8"/>
      <c r="AC209" s="6"/>
      <c r="AD209" s="8"/>
      <c r="AE209" s="8"/>
      <c r="AF209" s="8"/>
    </row>
    <row r="210" spans="6:44" x14ac:dyDescent="0.3">
      <c r="F210" s="11"/>
      <c r="G210" s="11"/>
      <c r="AC210" s="8"/>
      <c r="AD210" s="8"/>
      <c r="AQ210" s="13"/>
      <c r="AR210" s="13"/>
    </row>
    <row r="211" spans="6:44" x14ac:dyDescent="0.3">
      <c r="F211" s="11"/>
      <c r="G211" s="11"/>
      <c r="AC211" s="8"/>
      <c r="AD211" s="8"/>
      <c r="AQ211" s="13"/>
      <c r="AR211" s="13"/>
    </row>
    <row r="212" spans="6:44" x14ac:dyDescent="0.3">
      <c r="F212" s="11"/>
      <c r="G212" s="11"/>
      <c r="J212" s="9"/>
      <c r="AC212" s="8"/>
      <c r="AD212" s="8"/>
      <c r="AQ212" s="13"/>
      <c r="AR212" s="13"/>
    </row>
    <row r="213" spans="6:44" x14ac:dyDescent="0.3">
      <c r="F213" s="11"/>
      <c r="G213" s="11"/>
      <c r="J213" s="9"/>
      <c r="AC213" s="8"/>
      <c r="AD213" s="8"/>
      <c r="AQ213" s="13"/>
      <c r="AR213" s="13"/>
    </row>
    <row r="214" spans="6:44" x14ac:dyDescent="0.3">
      <c r="F214" s="11"/>
      <c r="G214" s="11"/>
      <c r="J214" s="9"/>
      <c r="AC214" s="8"/>
      <c r="AD214" s="8"/>
      <c r="AQ214" s="13"/>
      <c r="AR214" s="13"/>
    </row>
    <row r="215" spans="6:44" x14ac:dyDescent="0.3">
      <c r="F215" s="11"/>
      <c r="G215" s="11"/>
      <c r="J215" s="9"/>
      <c r="AC215" s="8"/>
      <c r="AD215" s="8"/>
      <c r="AQ215" s="13"/>
      <c r="AR215" s="13"/>
    </row>
    <row r="216" spans="6:44" x14ac:dyDescent="0.3">
      <c r="F216" s="11"/>
      <c r="G216" s="11"/>
      <c r="J216" s="9"/>
      <c r="AC216" s="8"/>
      <c r="AD216" s="8"/>
      <c r="AQ216" s="13"/>
      <c r="AR216" s="13"/>
    </row>
    <row r="217" spans="6:44" x14ac:dyDescent="0.3">
      <c r="F217" s="11"/>
      <c r="G217" s="11"/>
      <c r="J217" s="9"/>
      <c r="AC217" s="8"/>
      <c r="AD217" s="8"/>
      <c r="AQ217" s="13"/>
      <c r="AR217" s="13"/>
    </row>
    <row r="218" spans="6:44" x14ac:dyDescent="0.3">
      <c r="F218" s="11"/>
      <c r="G218" s="11"/>
      <c r="R218" s="18"/>
      <c r="AC218" s="8"/>
      <c r="AD218" s="8"/>
      <c r="AQ218" s="13"/>
      <c r="AR218" s="13"/>
    </row>
    <row r="219" spans="6:44" x14ac:dyDescent="0.3">
      <c r="F219" s="11"/>
      <c r="G219" s="11"/>
      <c r="AC219" s="8"/>
      <c r="AD219" s="8"/>
      <c r="AQ219" s="13"/>
      <c r="AR219" s="13"/>
    </row>
    <row r="220" spans="6:44" x14ac:dyDescent="0.3">
      <c r="F220" s="11"/>
      <c r="G220" s="11"/>
      <c r="AC220" s="8"/>
      <c r="AD220" s="8"/>
      <c r="AQ220" s="13"/>
      <c r="AR220" s="13"/>
    </row>
    <row r="221" spans="6:44" x14ac:dyDescent="0.3">
      <c r="F221" s="11"/>
      <c r="G221" s="11"/>
      <c r="AC221" s="8"/>
      <c r="AD221" s="8"/>
      <c r="AQ221" s="13"/>
      <c r="AR221" s="13"/>
    </row>
    <row r="222" spans="6:44" x14ac:dyDescent="0.3">
      <c r="F222" s="11"/>
      <c r="G222" s="11"/>
      <c r="AC222" s="8"/>
      <c r="AD222" s="8"/>
      <c r="AQ222" s="13"/>
      <c r="AR222" s="13"/>
    </row>
    <row r="223" spans="6:44" x14ac:dyDescent="0.3">
      <c r="F223" s="11"/>
      <c r="G223" s="11"/>
      <c r="AC223" s="8"/>
      <c r="AD223" s="8"/>
      <c r="AQ223" s="13"/>
      <c r="AR223" s="13"/>
    </row>
    <row r="224" spans="6:44" x14ac:dyDescent="0.3">
      <c r="F224" s="11"/>
      <c r="G224" s="11"/>
      <c r="R224" s="40"/>
      <c r="S224" s="40"/>
      <c r="U224" s="6"/>
      <c r="V224" s="6"/>
      <c r="W224" s="8"/>
      <c r="X224" s="8"/>
      <c r="Y224" s="8"/>
      <c r="Z224" s="8"/>
      <c r="AA224" s="40"/>
      <c r="AB224" s="8"/>
      <c r="AC224" s="6"/>
      <c r="AD224" s="8"/>
      <c r="AE224" s="8"/>
      <c r="AF224" s="6"/>
      <c r="AG224" s="6"/>
      <c r="AH224" s="41"/>
      <c r="AI224" s="6"/>
      <c r="AQ224" s="13"/>
      <c r="AR224" s="13"/>
    </row>
    <row r="225" spans="1:44" x14ac:dyDescent="0.3">
      <c r="F225" s="11"/>
      <c r="G225" s="11"/>
      <c r="R225" s="40"/>
      <c r="S225" s="40"/>
      <c r="U225" s="6"/>
      <c r="V225" s="6"/>
      <c r="W225" s="8"/>
      <c r="X225" s="8"/>
      <c r="Y225" s="8"/>
      <c r="Z225" s="8"/>
      <c r="AA225" s="40"/>
      <c r="AB225" s="6"/>
      <c r="AC225" s="6"/>
      <c r="AD225" s="8"/>
      <c r="AE225" s="8"/>
      <c r="AF225" s="6"/>
      <c r="AG225" s="6"/>
      <c r="AH225" s="41"/>
      <c r="AI225" s="6"/>
      <c r="AQ225" s="13"/>
      <c r="AR225" s="13"/>
    </row>
    <row r="226" spans="1:44" x14ac:dyDescent="0.3">
      <c r="AC226" s="8"/>
      <c r="AD226" s="8"/>
      <c r="AQ226" s="13"/>
      <c r="AR226" s="13"/>
    </row>
    <row r="227" spans="1:44" x14ac:dyDescent="0.3">
      <c r="AC227" s="8"/>
      <c r="AD227" s="8"/>
      <c r="AQ227" s="13"/>
      <c r="AR227" s="13"/>
    </row>
    <row r="228" spans="1:44" x14ac:dyDescent="0.3">
      <c r="AC228" s="8"/>
      <c r="AD228" s="8"/>
      <c r="AQ228" s="13"/>
      <c r="AR228" s="13"/>
    </row>
    <row r="229" spans="1:44" x14ac:dyDescent="0.3">
      <c r="F229" s="11"/>
      <c r="G229" s="11"/>
      <c r="AC229" s="8"/>
      <c r="AD229" s="8"/>
      <c r="AQ229" s="13"/>
      <c r="AR229" s="13"/>
    </row>
    <row r="230" spans="1:44" x14ac:dyDescent="0.3">
      <c r="F230" s="11"/>
      <c r="G230" s="11"/>
      <c r="AC230" s="8"/>
      <c r="AD230" s="8"/>
      <c r="AQ230" s="13"/>
      <c r="AR230" s="13"/>
    </row>
    <row r="231" spans="1:44" x14ac:dyDescent="0.3">
      <c r="F231" s="11"/>
      <c r="G231" s="11"/>
      <c r="AC231" s="8"/>
      <c r="AD231" s="8"/>
      <c r="AQ231" s="13"/>
      <c r="AR231" s="13"/>
    </row>
    <row r="232" spans="1:44" x14ac:dyDescent="0.3">
      <c r="F232" s="11"/>
      <c r="G232" s="11"/>
      <c r="AC232" s="8"/>
      <c r="AD232" s="8"/>
      <c r="AQ232" s="13"/>
      <c r="AR232" s="13"/>
    </row>
    <row r="233" spans="1:44" x14ac:dyDescent="0.3">
      <c r="F233" s="11"/>
      <c r="G233" s="11"/>
      <c r="AC233" s="8"/>
      <c r="AD233" s="8"/>
      <c r="AQ233" s="13"/>
      <c r="AR233" s="13"/>
    </row>
    <row r="234" spans="1:44" s="7" customFormat="1" x14ac:dyDescent="0.3">
      <c r="A234" s="5"/>
      <c r="B234" s="12"/>
      <c r="C234"/>
      <c r="D234"/>
      <c r="E234"/>
      <c r="F234" s="11"/>
      <c r="G234" s="11"/>
      <c r="H234"/>
      <c r="I234" s="2"/>
      <c r="J234" s="1"/>
      <c r="K234"/>
      <c r="L234" s="2"/>
      <c r="M234" s="2"/>
      <c r="N234" s="1"/>
      <c r="O234" s="1"/>
      <c r="P234" s="3"/>
      <c r="Q234" s="4"/>
      <c r="R234" s="4"/>
      <c r="S234" s="4"/>
      <c r="T234" s="4"/>
      <c r="U234" s="2"/>
      <c r="V234" s="2"/>
      <c r="W234" s="3"/>
      <c r="X234" s="3"/>
      <c r="Y234" s="3"/>
      <c r="Z234" s="3"/>
      <c r="AA234" s="4"/>
      <c r="AB234" s="3"/>
      <c r="AC234" s="8"/>
      <c r="AD234" s="8"/>
      <c r="AE234" s="3"/>
      <c r="AF234" s="3"/>
      <c r="AG234" s="2"/>
      <c r="AH234" s="2"/>
      <c r="AI234" s="3"/>
      <c r="AJ234" s="3"/>
      <c r="AK234" s="1"/>
      <c r="AL234" s="1"/>
      <c r="AM234" s="1"/>
      <c r="AN234" s="1"/>
      <c r="AO234" s="1"/>
      <c r="AP234"/>
      <c r="AQ234" s="13"/>
      <c r="AR234" s="13"/>
    </row>
    <row r="235" spans="1:44" x14ac:dyDescent="0.3">
      <c r="F235" s="11"/>
      <c r="G235" s="11"/>
      <c r="AC235" s="8"/>
      <c r="AD235" s="8"/>
      <c r="AQ235" s="13"/>
      <c r="AR235" s="13"/>
    </row>
    <row r="236" spans="1:44" x14ac:dyDescent="0.3">
      <c r="F236" s="11"/>
      <c r="G236" s="11"/>
      <c r="M236" s="41"/>
      <c r="O236" s="6"/>
      <c r="R236" s="40"/>
      <c r="S236" s="40"/>
      <c r="AA236" s="6"/>
      <c r="AB236" s="6"/>
      <c r="AC236" s="6"/>
      <c r="AD236" s="6"/>
      <c r="AE236" s="6"/>
      <c r="AF236" s="6"/>
      <c r="AI236" s="6"/>
      <c r="AQ236" s="13"/>
      <c r="AR236" s="13"/>
    </row>
    <row r="237" spans="1:44" x14ac:dyDescent="0.3">
      <c r="F237" s="11"/>
      <c r="G237" s="11"/>
      <c r="AC237" s="8"/>
      <c r="AD237" s="8"/>
      <c r="AQ237" s="13"/>
      <c r="AR237" s="13"/>
    </row>
    <row r="238" spans="1:44" x14ac:dyDescent="0.3">
      <c r="F238" s="11"/>
      <c r="G238" s="11"/>
      <c r="AC238" s="8"/>
      <c r="AD238" s="8"/>
      <c r="AQ238" s="13"/>
      <c r="AR238" s="13"/>
    </row>
    <row r="239" spans="1:44" x14ac:dyDescent="0.3">
      <c r="F239" s="11"/>
      <c r="G239" s="11"/>
      <c r="AC239" s="8"/>
      <c r="AD239" s="8"/>
      <c r="AQ239" s="13"/>
      <c r="AR239" s="13"/>
    </row>
    <row r="240" spans="1:44" x14ac:dyDescent="0.3">
      <c r="F240" s="11"/>
      <c r="G240" s="11"/>
      <c r="AC240" s="8"/>
      <c r="AD240" s="8"/>
      <c r="AQ240" s="13"/>
      <c r="AR240" s="13"/>
    </row>
    <row r="241" spans="6:44" x14ac:dyDescent="0.3">
      <c r="F241" s="11"/>
      <c r="G241" s="11"/>
      <c r="R241" s="18"/>
      <c r="AC241" s="8"/>
      <c r="AD241" s="8"/>
      <c r="AH241" s="21"/>
      <c r="AQ241" s="13"/>
      <c r="AR241" s="13"/>
    </row>
    <row r="242" spans="6:44" x14ac:dyDescent="0.3">
      <c r="F242" s="11"/>
      <c r="G242" s="11"/>
      <c r="AC242" s="8"/>
      <c r="AD242" s="8"/>
      <c r="AQ242" s="13"/>
      <c r="AR242" s="13"/>
    </row>
    <row r="243" spans="6:44" x14ac:dyDescent="0.3">
      <c r="F243" s="11"/>
      <c r="G243" s="11"/>
      <c r="J243" s="9"/>
      <c r="AC243" s="8"/>
      <c r="AD243" s="8"/>
      <c r="AQ243" s="13"/>
      <c r="AR243" s="13"/>
    </row>
    <row r="244" spans="6:44" x14ac:dyDescent="0.3">
      <c r="F244" s="11"/>
      <c r="G244" s="11"/>
      <c r="J244" s="9"/>
      <c r="AC244" s="8"/>
      <c r="AD244" s="8"/>
      <c r="AQ244" s="13"/>
      <c r="AR244" s="13"/>
    </row>
    <row r="245" spans="6:44" x14ac:dyDescent="0.3">
      <c r="F245" s="11"/>
      <c r="G245" s="11"/>
      <c r="J245" s="14"/>
      <c r="AC245" s="8"/>
      <c r="AD245" s="8"/>
      <c r="AQ245" s="13"/>
      <c r="AR245" s="13"/>
    </row>
    <row r="247" spans="6:44" x14ac:dyDescent="0.3">
      <c r="F247" s="11"/>
      <c r="G247" s="11"/>
      <c r="AC247" s="8"/>
      <c r="AD247" s="8"/>
      <c r="AQ247" s="13"/>
      <c r="AR247" s="13"/>
    </row>
    <row r="248" spans="6:44" x14ac:dyDescent="0.3">
      <c r="F248" s="11"/>
      <c r="G248" s="11"/>
      <c r="AC248" s="8"/>
      <c r="AD248" s="8"/>
    </row>
    <row r="250" spans="6:44" x14ac:dyDescent="0.3">
      <c r="F250" s="11"/>
      <c r="G250" s="11"/>
      <c r="AC250" s="8"/>
      <c r="AD250" s="8"/>
      <c r="AQ250" s="13"/>
      <c r="AR250" s="13"/>
    </row>
    <row r="251" spans="6:44" x14ac:dyDescent="0.3">
      <c r="F251" s="11"/>
      <c r="G251" s="11"/>
      <c r="AC251" s="8"/>
      <c r="AD251" s="8"/>
    </row>
    <row r="253" spans="6:44" x14ac:dyDescent="0.3">
      <c r="F253" s="11"/>
      <c r="G253" s="11"/>
      <c r="AC253" s="8"/>
      <c r="AD253" s="8"/>
      <c r="AQ253" s="13"/>
      <c r="AR253" s="13"/>
    </row>
    <row r="254" spans="6:44" x14ac:dyDescent="0.3">
      <c r="F254" s="11"/>
      <c r="G254" s="11"/>
      <c r="AC254" s="8"/>
      <c r="AD254" s="8"/>
    </row>
    <row r="256" spans="6:44" x14ac:dyDescent="0.3">
      <c r="F256" s="11"/>
      <c r="G256" s="11"/>
      <c r="AC256" s="8"/>
      <c r="AD256" s="8"/>
      <c r="AQ256" s="13"/>
      <c r="AR256" s="13"/>
    </row>
    <row r="257" spans="6:44" x14ac:dyDescent="0.3">
      <c r="F257" s="11"/>
      <c r="G257" s="11"/>
      <c r="AC257" s="8"/>
      <c r="AD257" s="8"/>
    </row>
    <row r="259" spans="6:44" x14ac:dyDescent="0.3">
      <c r="F259" s="11"/>
      <c r="G259" s="11"/>
      <c r="J259" s="9"/>
      <c r="Z259" s="22"/>
      <c r="AC259" s="8"/>
      <c r="AD259" s="8"/>
      <c r="AQ259" s="13"/>
      <c r="AR259" s="13"/>
    </row>
    <row r="260" spans="6:44" x14ac:dyDescent="0.3">
      <c r="F260" s="11"/>
      <c r="G260" s="11"/>
      <c r="J260" s="9"/>
      <c r="Z260" s="22"/>
      <c r="AC260" s="8"/>
      <c r="AD260" s="8"/>
      <c r="AQ260" s="13"/>
      <c r="AR260" s="13"/>
    </row>
    <row r="261" spans="6:44" x14ac:dyDescent="0.3">
      <c r="F261" s="11"/>
      <c r="G261" s="11"/>
      <c r="J261" s="9"/>
      <c r="Z261" s="22"/>
      <c r="AC261" s="8"/>
      <c r="AD261" s="8"/>
      <c r="AQ261" s="13"/>
      <c r="AR261" s="13"/>
    </row>
    <row r="262" spans="6:44" x14ac:dyDescent="0.3">
      <c r="F262" s="11"/>
      <c r="G262" s="11"/>
      <c r="J262" s="9"/>
      <c r="Z262" s="22"/>
      <c r="AC262" s="8"/>
      <c r="AD262" s="8"/>
      <c r="AQ262" s="13"/>
      <c r="AR262" s="13"/>
    </row>
    <row r="263" spans="6:44" x14ac:dyDescent="0.3">
      <c r="F263" s="11"/>
      <c r="G263" s="11"/>
      <c r="J263" s="9"/>
      <c r="Z263" s="22"/>
      <c r="AC263" s="8"/>
      <c r="AD263" s="8"/>
      <c r="AQ263" s="13"/>
      <c r="AR263" s="13"/>
    </row>
    <row r="264" spans="6:44" x14ac:dyDescent="0.3">
      <c r="F264" s="11"/>
      <c r="G264" s="11"/>
      <c r="J264" s="9"/>
      <c r="Z264" s="22"/>
      <c r="AC264" s="8"/>
      <c r="AD264" s="8"/>
      <c r="AQ264" s="13"/>
      <c r="AR264" s="13"/>
    </row>
    <row r="265" spans="6:44" x14ac:dyDescent="0.3">
      <c r="F265" s="11"/>
      <c r="G265" s="11"/>
      <c r="J265" s="9"/>
      <c r="Z265" s="22"/>
      <c r="AC265" s="8"/>
      <c r="AD265" s="8"/>
      <c r="AQ265" s="13"/>
      <c r="AR265" s="13"/>
    </row>
    <row r="266" spans="6:44" x14ac:dyDescent="0.3">
      <c r="F266" s="11"/>
      <c r="G266" s="11"/>
      <c r="J266" s="9"/>
      <c r="Z266" s="22"/>
      <c r="AC266" s="8"/>
      <c r="AD266" s="8"/>
      <c r="AQ266" s="13"/>
      <c r="AR266" s="13"/>
    </row>
    <row r="267" spans="6:44" x14ac:dyDescent="0.3">
      <c r="F267" s="11"/>
      <c r="G267" s="11"/>
      <c r="J267" s="9"/>
      <c r="Z267" s="22"/>
      <c r="AC267" s="8"/>
      <c r="AD267" s="8"/>
      <c r="AQ267" s="13"/>
      <c r="AR267" s="13"/>
    </row>
    <row r="268" spans="6:44" x14ac:dyDescent="0.3">
      <c r="F268" s="11"/>
      <c r="G268" s="11"/>
      <c r="J268" s="9"/>
      <c r="Z268" s="22"/>
      <c r="AC268" s="8"/>
      <c r="AD268" s="8"/>
      <c r="AQ268" s="13"/>
      <c r="AR268" s="13"/>
    </row>
    <row r="269" spans="6:44" x14ac:dyDescent="0.3">
      <c r="F269" s="11"/>
      <c r="G269" s="11"/>
      <c r="J269" s="9"/>
      <c r="Z269" s="22"/>
      <c r="AC269" s="8"/>
      <c r="AD269" s="8"/>
      <c r="AQ269" s="13"/>
      <c r="AR269" s="13"/>
    </row>
    <row r="270" spans="6:44" x14ac:dyDescent="0.3">
      <c r="F270" s="11"/>
      <c r="G270" s="11"/>
      <c r="J270" s="9"/>
      <c r="Z270" s="22"/>
      <c r="AC270" s="8"/>
      <c r="AD270" s="8"/>
      <c r="AQ270" s="13"/>
      <c r="AR270" s="13"/>
    </row>
    <row r="271" spans="6:44" x14ac:dyDescent="0.3">
      <c r="F271" s="11"/>
      <c r="G271" s="11"/>
      <c r="J271" s="9"/>
      <c r="Z271" s="22"/>
      <c r="AC271" s="8"/>
      <c r="AD271" s="8"/>
      <c r="AQ271" s="13"/>
      <c r="AR271" s="13"/>
    </row>
    <row r="272" spans="6:44" x14ac:dyDescent="0.3">
      <c r="F272" s="11"/>
      <c r="G272" s="11"/>
      <c r="J272" s="9"/>
      <c r="Z272" s="22"/>
      <c r="AC272" s="8"/>
      <c r="AD272" s="8"/>
      <c r="AQ272" s="13"/>
      <c r="AR272" s="13"/>
    </row>
    <row r="273" spans="1:45" x14ac:dyDescent="0.3">
      <c r="F273" s="11"/>
      <c r="G273" s="11"/>
      <c r="J273" s="9"/>
      <c r="AC273" s="8"/>
      <c r="AD273" s="8"/>
      <c r="AQ273" s="13"/>
      <c r="AR273" s="13"/>
    </row>
    <row r="274" spans="1:45" x14ac:dyDescent="0.3">
      <c r="F274" s="11"/>
      <c r="G274" s="11"/>
      <c r="J274" s="9"/>
      <c r="AC274" s="8"/>
      <c r="AD274" s="8"/>
      <c r="AQ274" s="13"/>
      <c r="AR274" s="13"/>
    </row>
    <row r="275" spans="1:45" x14ac:dyDescent="0.3">
      <c r="F275" s="11"/>
      <c r="G275" s="11"/>
      <c r="J275" s="9"/>
      <c r="AC275" s="8"/>
      <c r="AD275" s="8"/>
      <c r="AQ275" s="13"/>
      <c r="AR275" s="13"/>
    </row>
    <row r="276" spans="1:45" x14ac:dyDescent="0.3">
      <c r="F276" s="11"/>
      <c r="G276" s="11"/>
      <c r="Z276" s="23"/>
      <c r="AC276" s="8"/>
      <c r="AD276" s="8"/>
      <c r="AQ276" s="13"/>
      <c r="AR276" s="13"/>
    </row>
    <row r="277" spans="1:45" x14ac:dyDescent="0.3">
      <c r="F277" s="11"/>
      <c r="G277" s="11"/>
      <c r="Z277" s="23"/>
      <c r="AC277" s="8"/>
      <c r="AD277" s="8"/>
      <c r="AQ277" s="13"/>
      <c r="AR277" s="13"/>
    </row>
    <row r="278" spans="1:45" s="7" customFormat="1" x14ac:dyDescent="0.3">
      <c r="A278" s="5"/>
      <c r="B278" s="12"/>
      <c r="C278"/>
      <c r="D278"/>
      <c r="E278"/>
      <c r="F278" s="11"/>
      <c r="G278" s="11"/>
      <c r="H278"/>
      <c r="I278" s="2"/>
      <c r="J278" s="1"/>
      <c r="K278"/>
      <c r="L278" s="2"/>
      <c r="M278" s="2"/>
      <c r="N278" s="1"/>
      <c r="O278" s="1"/>
      <c r="P278" s="3"/>
      <c r="Q278" s="4"/>
      <c r="R278" s="4"/>
      <c r="S278" s="4"/>
      <c r="T278" s="4"/>
      <c r="U278" s="2"/>
      <c r="V278" s="2"/>
      <c r="W278" s="3"/>
      <c r="X278" s="3"/>
      <c r="Y278" s="3"/>
      <c r="Z278" s="23"/>
      <c r="AA278" s="4"/>
      <c r="AB278" s="3"/>
      <c r="AC278" s="8"/>
      <c r="AD278" s="8"/>
      <c r="AE278" s="3"/>
      <c r="AF278" s="3"/>
      <c r="AG278" s="2"/>
      <c r="AH278" s="2"/>
      <c r="AI278" s="3"/>
      <c r="AJ278" s="3"/>
      <c r="AK278" s="1"/>
      <c r="AL278" s="1"/>
      <c r="AM278" s="1"/>
      <c r="AN278" s="1"/>
      <c r="AO278" s="1"/>
      <c r="AP278"/>
      <c r="AQ278" s="13"/>
      <c r="AR278" s="13"/>
    </row>
    <row r="279" spans="1:45" x14ac:dyDescent="0.3">
      <c r="F279" s="11"/>
      <c r="G279" s="11"/>
      <c r="Z279" s="23"/>
      <c r="AC279" s="8"/>
      <c r="AD279" s="8"/>
      <c r="AQ279" s="13"/>
      <c r="AR279" s="13"/>
      <c r="AS279" s="13"/>
    </row>
    <row r="280" spans="1:45" x14ac:dyDescent="0.3">
      <c r="F280" s="11"/>
      <c r="G280" s="11"/>
      <c r="Z280" s="23"/>
      <c r="AC280" s="8"/>
      <c r="AD280" s="8"/>
      <c r="AQ280" s="13"/>
      <c r="AR280" s="13"/>
    </row>
    <row r="281" spans="1:45" x14ac:dyDescent="0.3">
      <c r="F281" s="11"/>
      <c r="G281" s="11"/>
      <c r="Z281" s="23"/>
      <c r="AC281" s="8"/>
      <c r="AD281" s="8"/>
      <c r="AQ281" s="13"/>
      <c r="AR281" s="13"/>
    </row>
    <row r="282" spans="1:45" x14ac:dyDescent="0.3">
      <c r="F282" s="11"/>
      <c r="G282" s="11"/>
      <c r="J282" s="14"/>
      <c r="Z282" s="23"/>
      <c r="AC282" s="8"/>
      <c r="AD282" s="8"/>
      <c r="AQ282" s="13"/>
      <c r="AR282" s="13"/>
    </row>
    <row r="283" spans="1:45" x14ac:dyDescent="0.3">
      <c r="F283" s="11"/>
      <c r="G283" s="11"/>
      <c r="J283" s="14"/>
      <c r="Z283" s="22"/>
      <c r="AC283" s="8"/>
      <c r="AD283" s="8"/>
      <c r="AQ283" s="13"/>
      <c r="AR283" s="13"/>
    </row>
    <row r="284" spans="1:45" x14ac:dyDescent="0.3">
      <c r="F284" s="11"/>
      <c r="G284" s="11"/>
      <c r="J284" s="14"/>
      <c r="Z284" s="22"/>
      <c r="AC284" s="8"/>
      <c r="AD284" s="8"/>
      <c r="AQ284" s="13"/>
      <c r="AR284" s="13"/>
    </row>
    <row r="285" spans="1:45" x14ac:dyDescent="0.3">
      <c r="F285" s="11"/>
      <c r="G285" s="11"/>
      <c r="J285" s="14"/>
      <c r="Z285" s="22"/>
      <c r="AC285" s="8"/>
      <c r="AD285" s="8"/>
      <c r="AQ285" s="13"/>
      <c r="AR285" s="13"/>
    </row>
    <row r="286" spans="1:45" x14ac:dyDescent="0.3">
      <c r="F286" s="11"/>
      <c r="G286" s="11"/>
      <c r="J286" s="14"/>
      <c r="Z286" s="22"/>
      <c r="AC286" s="8"/>
      <c r="AD286" s="8"/>
      <c r="AQ286" s="13"/>
      <c r="AR286" s="13"/>
    </row>
    <row r="287" spans="1:45" x14ac:dyDescent="0.3">
      <c r="F287" s="11"/>
      <c r="G287" s="11"/>
      <c r="AC287" s="8"/>
      <c r="AD287" s="8"/>
    </row>
    <row r="289" spans="1:44" x14ac:dyDescent="0.3">
      <c r="F289" s="11"/>
      <c r="G289" s="11"/>
      <c r="AC289" s="8"/>
      <c r="AD289" s="8"/>
      <c r="AQ289" s="13"/>
      <c r="AR289" s="13"/>
    </row>
    <row r="290" spans="1:44" x14ac:dyDescent="0.3">
      <c r="F290" s="11"/>
      <c r="G290" s="11"/>
      <c r="AC290" s="8"/>
      <c r="AD290" s="8"/>
    </row>
    <row r="292" spans="1:44" x14ac:dyDescent="0.3">
      <c r="F292" s="11"/>
      <c r="G292" s="11"/>
      <c r="AC292" s="8"/>
      <c r="AD292" s="8"/>
      <c r="AQ292" s="13"/>
      <c r="AR292" s="13"/>
    </row>
    <row r="293" spans="1:44" x14ac:dyDescent="0.3">
      <c r="F293" s="11"/>
      <c r="G293" s="11"/>
      <c r="AC293" s="8"/>
      <c r="AD293" s="8"/>
    </row>
    <row r="295" spans="1:44" x14ac:dyDescent="0.3">
      <c r="F295" s="11"/>
      <c r="G295" s="11"/>
      <c r="AC295" s="8"/>
      <c r="AD295" s="8"/>
      <c r="AQ295" s="13"/>
      <c r="AR295" s="13"/>
    </row>
    <row r="296" spans="1:44" x14ac:dyDescent="0.3">
      <c r="F296" s="11"/>
      <c r="G296" s="11"/>
      <c r="AC296" s="8"/>
      <c r="AD296" s="8"/>
    </row>
    <row r="298" spans="1:44" x14ac:dyDescent="0.3">
      <c r="F298" s="11"/>
      <c r="G298" s="11"/>
      <c r="AC298" s="8"/>
      <c r="AD298" s="8"/>
      <c r="AQ298" s="13"/>
      <c r="AR298" s="13"/>
    </row>
    <row r="300" spans="1:44" s="26" customFormat="1" x14ac:dyDescent="0.3">
      <c r="A300" s="5"/>
      <c r="B300" s="12"/>
      <c r="C300"/>
      <c r="D300"/>
      <c r="E300"/>
      <c r="F300" s="11"/>
      <c r="G300" s="11"/>
      <c r="H300"/>
      <c r="I300" s="2"/>
      <c r="J300" s="1"/>
      <c r="K300"/>
      <c r="L300" s="2"/>
      <c r="M300" s="2"/>
      <c r="N300" s="1"/>
      <c r="O300" s="1"/>
      <c r="P300" s="3"/>
      <c r="Q300" s="4"/>
      <c r="R300" s="4"/>
      <c r="S300" s="4"/>
      <c r="T300" s="4"/>
      <c r="U300" s="2"/>
      <c r="V300" s="2"/>
      <c r="W300" s="3"/>
      <c r="X300" s="3"/>
      <c r="Y300" s="3"/>
      <c r="Z300" s="3"/>
      <c r="AA300" s="4"/>
      <c r="AB300" s="3"/>
      <c r="AC300" s="8"/>
      <c r="AD300" s="8"/>
      <c r="AE300" s="3"/>
      <c r="AF300" s="3"/>
      <c r="AG300" s="2"/>
      <c r="AH300" s="2"/>
      <c r="AI300" s="3"/>
      <c r="AJ300" s="3"/>
      <c r="AK300" s="1"/>
      <c r="AL300" s="1"/>
      <c r="AM300" s="1"/>
      <c r="AN300" s="1"/>
      <c r="AO300" s="1"/>
      <c r="AP300"/>
      <c r="AQ300" s="13"/>
      <c r="AR300" s="13"/>
    </row>
    <row r="301" spans="1:44" s="26" customFormat="1" x14ac:dyDescent="0.3">
      <c r="A301" s="5"/>
      <c r="B301" s="12"/>
      <c r="C301"/>
      <c r="D301"/>
      <c r="E301"/>
      <c r="F301" s="11"/>
      <c r="G301" s="11"/>
      <c r="H301"/>
      <c r="I301" s="2"/>
      <c r="J301" s="1"/>
      <c r="K301"/>
      <c r="L301" s="2"/>
      <c r="M301" s="2"/>
      <c r="N301" s="1"/>
      <c r="O301" s="1"/>
      <c r="P301" s="3"/>
      <c r="Q301" s="4"/>
      <c r="R301" s="4"/>
      <c r="S301" s="4"/>
      <c r="T301" s="4"/>
      <c r="U301" s="2"/>
      <c r="V301" s="2"/>
      <c r="W301" s="3"/>
      <c r="X301" s="3"/>
      <c r="Y301" s="3"/>
      <c r="Z301" s="3"/>
      <c r="AA301" s="4"/>
      <c r="AB301" s="3"/>
      <c r="AC301" s="8"/>
      <c r="AD301" s="8"/>
      <c r="AE301" s="3"/>
      <c r="AF301" s="3"/>
      <c r="AG301" s="2"/>
      <c r="AH301" s="2"/>
      <c r="AI301" s="3"/>
      <c r="AJ301" s="3"/>
      <c r="AK301" s="1"/>
      <c r="AL301" s="1"/>
      <c r="AM301" s="1"/>
      <c r="AN301" s="1"/>
      <c r="AO301" s="1"/>
      <c r="AP301"/>
      <c r="AQ301"/>
      <c r="AR301"/>
    </row>
    <row r="302" spans="1:44" s="26" customFormat="1" x14ac:dyDescent="0.3">
      <c r="A302" s="5"/>
      <c r="B302" s="12"/>
      <c r="C302"/>
      <c r="D302"/>
      <c r="E302"/>
      <c r="F302"/>
      <c r="G302"/>
      <c r="H302"/>
      <c r="I302" s="2"/>
      <c r="J302" s="1"/>
      <c r="K302"/>
      <c r="L302" s="2"/>
      <c r="M302" s="2"/>
      <c r="N302" s="1"/>
      <c r="O302" s="1"/>
      <c r="P302" s="3"/>
      <c r="Q302" s="4"/>
      <c r="R302" s="4"/>
      <c r="S302" s="4"/>
      <c r="T302" s="4"/>
      <c r="U302" s="2"/>
      <c r="V302" s="2"/>
      <c r="W302" s="3"/>
      <c r="X302" s="3"/>
      <c r="Y302" s="3"/>
      <c r="Z302" s="3"/>
      <c r="AA302" s="4"/>
      <c r="AB302" s="3"/>
      <c r="AC302" s="3"/>
      <c r="AD302" s="3"/>
      <c r="AE302" s="3"/>
      <c r="AF302" s="3"/>
      <c r="AG302" s="2"/>
      <c r="AH302" s="2"/>
      <c r="AI302" s="3"/>
      <c r="AJ302" s="3"/>
      <c r="AK302" s="1"/>
      <c r="AL302" s="1"/>
      <c r="AM302" s="1"/>
      <c r="AN302" s="1"/>
      <c r="AO302" s="1"/>
      <c r="AP302"/>
      <c r="AQ302"/>
      <c r="AR302"/>
    </row>
    <row r="303" spans="1:44" s="26" customFormat="1" x14ac:dyDescent="0.3">
      <c r="A303" s="5"/>
      <c r="B303" s="12"/>
      <c r="C303"/>
      <c r="D303"/>
      <c r="E303"/>
      <c r="F303" s="11"/>
      <c r="G303" s="11"/>
      <c r="H303"/>
      <c r="I303" s="2"/>
      <c r="J303" s="1"/>
      <c r="K303"/>
      <c r="L303" s="2"/>
      <c r="M303" s="2"/>
      <c r="N303" s="1"/>
      <c r="O303" s="1"/>
      <c r="P303" s="3"/>
      <c r="Q303" s="4"/>
      <c r="R303" s="4"/>
      <c r="S303" s="4"/>
      <c r="T303" s="4"/>
      <c r="U303" s="2"/>
      <c r="V303" s="2"/>
      <c r="W303" s="3"/>
      <c r="X303" s="3"/>
      <c r="Y303" s="3"/>
      <c r="Z303" s="3"/>
      <c r="AA303" s="4"/>
      <c r="AB303" s="3"/>
      <c r="AC303" s="8"/>
      <c r="AD303" s="8"/>
      <c r="AE303" s="3"/>
      <c r="AF303" s="3"/>
      <c r="AG303" s="2"/>
      <c r="AH303" s="2"/>
      <c r="AI303" s="3"/>
      <c r="AJ303" s="3"/>
      <c r="AK303" s="1"/>
      <c r="AL303" s="1"/>
      <c r="AM303" s="1"/>
      <c r="AN303" s="1"/>
      <c r="AO303" s="1"/>
      <c r="AP303"/>
      <c r="AQ303" s="13"/>
      <c r="AR303" s="13"/>
    </row>
    <row r="304" spans="1:44" s="26" customFormat="1" x14ac:dyDescent="0.3">
      <c r="A304" s="5"/>
      <c r="B304" s="12"/>
      <c r="C304"/>
      <c r="D304"/>
      <c r="E304"/>
      <c r="F304" s="11"/>
      <c r="G304" s="11"/>
      <c r="H304"/>
      <c r="I304" s="2"/>
      <c r="J304" s="1"/>
      <c r="K304"/>
      <c r="L304" s="2"/>
      <c r="M304" s="2"/>
      <c r="N304" s="1"/>
      <c r="O304" s="1"/>
      <c r="P304" s="3"/>
      <c r="Q304" s="4"/>
      <c r="R304" s="4"/>
      <c r="S304" s="4"/>
      <c r="T304" s="4"/>
      <c r="U304" s="2"/>
      <c r="V304" s="2"/>
      <c r="W304" s="3"/>
      <c r="X304" s="3"/>
      <c r="Y304" s="3"/>
      <c r="Z304" s="3"/>
      <c r="AA304" s="4"/>
      <c r="AB304" s="3"/>
      <c r="AC304" s="8"/>
      <c r="AD304" s="8"/>
      <c r="AE304" s="3"/>
      <c r="AF304" s="3"/>
      <c r="AG304" s="2"/>
      <c r="AH304" s="2"/>
      <c r="AI304" s="3"/>
      <c r="AJ304" s="3"/>
      <c r="AK304" s="1"/>
      <c r="AL304" s="1"/>
      <c r="AM304" s="1"/>
      <c r="AN304" s="1"/>
      <c r="AO304" s="1"/>
      <c r="AP304"/>
      <c r="AQ304"/>
      <c r="AR304"/>
    </row>
    <row r="305" spans="1:44" s="26" customFormat="1" x14ac:dyDescent="0.3">
      <c r="A305" s="5"/>
      <c r="B305" s="12"/>
      <c r="C305"/>
      <c r="D305"/>
      <c r="E305"/>
      <c r="F305"/>
      <c r="G305"/>
      <c r="H305"/>
      <c r="I305" s="2"/>
      <c r="J305" s="1"/>
      <c r="K305"/>
      <c r="L305" s="2"/>
      <c r="M305" s="2"/>
      <c r="N305" s="1"/>
      <c r="O305" s="1"/>
      <c r="P305" s="3"/>
      <c r="Q305" s="4"/>
      <c r="R305" s="4"/>
      <c r="S305" s="4"/>
      <c r="T305" s="4"/>
      <c r="U305" s="2"/>
      <c r="V305" s="2"/>
      <c r="W305" s="3"/>
      <c r="X305" s="3"/>
      <c r="Y305" s="3"/>
      <c r="Z305" s="3"/>
      <c r="AA305" s="4"/>
      <c r="AB305" s="3"/>
      <c r="AC305" s="3"/>
      <c r="AD305" s="3"/>
      <c r="AE305" s="3"/>
      <c r="AF305" s="3"/>
      <c r="AG305" s="2"/>
      <c r="AH305" s="2"/>
      <c r="AI305" s="3"/>
      <c r="AJ305" s="3"/>
      <c r="AK305" s="1"/>
      <c r="AL305" s="1"/>
      <c r="AM305" s="1"/>
      <c r="AN305" s="1"/>
      <c r="AO305" s="1"/>
      <c r="AP305"/>
      <c r="AQ305"/>
      <c r="AR305"/>
    </row>
    <row r="306" spans="1:44" s="26" customFormat="1" x14ac:dyDescent="0.3">
      <c r="A306" s="5"/>
      <c r="B306" s="12"/>
      <c r="C306"/>
      <c r="D306"/>
      <c r="E306"/>
      <c r="F306" s="11"/>
      <c r="G306" s="11"/>
      <c r="H306"/>
      <c r="I306" s="2"/>
      <c r="J306" s="1"/>
      <c r="K306"/>
      <c r="L306" s="2"/>
      <c r="M306" s="2"/>
      <c r="N306" s="1"/>
      <c r="O306" s="1"/>
      <c r="P306" s="3"/>
      <c r="Q306" s="4"/>
      <c r="R306" s="4"/>
      <c r="S306" s="4"/>
      <c r="T306" s="4"/>
      <c r="U306" s="2"/>
      <c r="V306" s="2"/>
      <c r="W306" s="3"/>
      <c r="X306" s="3"/>
      <c r="Y306" s="3"/>
      <c r="Z306" s="3"/>
      <c r="AA306" s="4"/>
      <c r="AB306" s="3"/>
      <c r="AC306" s="8"/>
      <c r="AD306" s="8"/>
      <c r="AE306" s="3"/>
      <c r="AF306" s="3"/>
      <c r="AG306" s="2"/>
      <c r="AH306" s="2"/>
      <c r="AI306" s="3"/>
      <c r="AJ306" s="3"/>
      <c r="AK306" s="1"/>
      <c r="AL306" s="1"/>
      <c r="AM306" s="1"/>
      <c r="AN306" s="1"/>
      <c r="AO306" s="1"/>
      <c r="AP306"/>
      <c r="AQ306" s="13"/>
      <c r="AR306" s="13"/>
    </row>
    <row r="307" spans="1:44" s="26" customFormat="1" x14ac:dyDescent="0.3">
      <c r="A307" s="5"/>
      <c r="B307" s="12"/>
      <c r="C307"/>
      <c r="D307"/>
      <c r="E307"/>
      <c r="F307" s="11"/>
      <c r="G307" s="11"/>
      <c r="H307"/>
      <c r="I307" s="2"/>
      <c r="J307" s="1"/>
      <c r="K307"/>
      <c r="L307" s="2"/>
      <c r="M307" s="2"/>
      <c r="N307" s="1"/>
      <c r="O307" s="1"/>
      <c r="P307" s="3"/>
      <c r="Q307" s="4"/>
      <c r="R307" s="4"/>
      <c r="S307" s="4"/>
      <c r="T307" s="4"/>
      <c r="U307" s="2"/>
      <c r="V307" s="2"/>
      <c r="W307" s="3"/>
      <c r="X307" s="3"/>
      <c r="Y307" s="3"/>
      <c r="Z307" s="3"/>
      <c r="AA307" s="4"/>
      <c r="AB307" s="3"/>
      <c r="AC307" s="8"/>
      <c r="AD307" s="8"/>
      <c r="AE307" s="3"/>
      <c r="AF307" s="3"/>
      <c r="AG307" s="2"/>
      <c r="AH307" s="2"/>
      <c r="AI307" s="3"/>
      <c r="AJ307" s="3"/>
      <c r="AK307" s="1"/>
      <c r="AL307" s="1"/>
      <c r="AM307" s="1"/>
      <c r="AN307" s="1"/>
      <c r="AO307" s="1"/>
      <c r="AP307"/>
      <c r="AQ307"/>
      <c r="AR307"/>
    </row>
    <row r="308" spans="1:44" s="26" customFormat="1" x14ac:dyDescent="0.3">
      <c r="A308" s="5"/>
      <c r="B308" s="12"/>
      <c r="C308"/>
      <c r="D308"/>
      <c r="E308"/>
      <c r="F308" s="11"/>
      <c r="G308" s="11"/>
      <c r="H308"/>
      <c r="I308" s="2"/>
      <c r="J308" s="1"/>
      <c r="K308"/>
      <c r="L308" s="2"/>
      <c r="M308" s="2"/>
      <c r="N308" s="1"/>
      <c r="O308" s="1"/>
      <c r="P308" s="3"/>
      <c r="Q308" s="4"/>
      <c r="R308" s="4"/>
      <c r="S308" s="4"/>
      <c r="T308" s="4"/>
      <c r="U308" s="2"/>
      <c r="V308" s="2"/>
      <c r="W308" s="3"/>
      <c r="X308" s="3"/>
      <c r="Y308" s="3"/>
      <c r="Z308" s="3"/>
      <c r="AA308" s="4"/>
      <c r="AB308" s="3"/>
      <c r="AC308" s="8"/>
      <c r="AD308" s="8"/>
      <c r="AE308" s="3"/>
      <c r="AF308" s="3"/>
      <c r="AG308" s="2"/>
      <c r="AH308" s="2"/>
      <c r="AI308" s="3"/>
      <c r="AJ308" s="3"/>
      <c r="AK308" s="1"/>
      <c r="AL308" s="1"/>
      <c r="AM308" s="1"/>
      <c r="AN308" s="1"/>
      <c r="AO308" s="1"/>
      <c r="AP308"/>
      <c r="AQ308"/>
      <c r="AR308"/>
    </row>
    <row r="309" spans="1:44" s="26" customFormat="1" x14ac:dyDescent="0.3">
      <c r="A309" s="5"/>
      <c r="B309" s="12"/>
      <c r="C309"/>
      <c r="D309"/>
      <c r="E309"/>
      <c r="F309"/>
      <c r="G309"/>
      <c r="H309"/>
      <c r="I309" s="2"/>
      <c r="J309" s="1"/>
      <c r="K309"/>
      <c r="L309" s="2"/>
      <c r="M309" s="2"/>
      <c r="N309" s="1"/>
      <c r="O309" s="1"/>
      <c r="P309" s="3"/>
      <c r="Q309" s="4"/>
      <c r="R309" s="4"/>
      <c r="S309" s="4"/>
      <c r="T309" s="4"/>
      <c r="U309" s="2"/>
      <c r="V309" s="2"/>
      <c r="W309" s="3"/>
      <c r="X309" s="3"/>
      <c r="Y309" s="3"/>
      <c r="Z309" s="3"/>
      <c r="AA309" s="4"/>
      <c r="AB309" s="3"/>
      <c r="AC309" s="3"/>
      <c r="AD309" s="3"/>
      <c r="AE309" s="3"/>
      <c r="AF309" s="3"/>
      <c r="AG309" s="2"/>
      <c r="AH309" s="2"/>
      <c r="AI309" s="3"/>
      <c r="AJ309" s="3"/>
      <c r="AK309" s="1"/>
      <c r="AL309" s="1"/>
      <c r="AM309" s="1"/>
      <c r="AN309" s="1"/>
      <c r="AO309" s="1"/>
      <c r="AP309"/>
      <c r="AQ309"/>
      <c r="AR309"/>
    </row>
    <row r="310" spans="1:44" s="26" customFormat="1" x14ac:dyDescent="0.3">
      <c r="A310" s="5"/>
      <c r="B310" s="12"/>
      <c r="C310"/>
      <c r="D310"/>
      <c r="E310"/>
      <c r="F310" s="11"/>
      <c r="G310" s="11"/>
      <c r="H310"/>
      <c r="I310" s="2"/>
      <c r="J310" s="1"/>
      <c r="K310"/>
      <c r="L310" s="2"/>
      <c r="M310" s="2"/>
      <c r="N310" s="1"/>
      <c r="O310" s="1"/>
      <c r="P310" s="3"/>
      <c r="Q310" s="4"/>
      <c r="R310" s="4"/>
      <c r="S310" s="4"/>
      <c r="T310" s="4"/>
      <c r="U310" s="2"/>
      <c r="V310" s="2"/>
      <c r="W310" s="3"/>
      <c r="X310" s="3"/>
      <c r="Y310" s="3"/>
      <c r="Z310" s="3"/>
      <c r="AA310" s="4"/>
      <c r="AB310" s="3"/>
      <c r="AC310" s="8"/>
      <c r="AD310" s="8"/>
      <c r="AE310" s="3"/>
      <c r="AF310" s="3"/>
      <c r="AG310" s="2"/>
      <c r="AH310" s="2"/>
      <c r="AI310" s="3"/>
      <c r="AJ310" s="3"/>
      <c r="AK310" s="1"/>
      <c r="AL310" s="1"/>
      <c r="AM310" s="1"/>
      <c r="AN310" s="1"/>
      <c r="AO310" s="1"/>
      <c r="AP310"/>
      <c r="AQ310" s="13"/>
      <c r="AR310" s="13"/>
    </row>
    <row r="311" spans="1:44" s="26" customFormat="1" x14ac:dyDescent="0.3">
      <c r="A311" s="5"/>
      <c r="B311" s="12"/>
      <c r="C311"/>
      <c r="D311"/>
      <c r="E311"/>
      <c r="F311" s="11"/>
      <c r="G311" s="11"/>
      <c r="H311"/>
      <c r="I311" s="2"/>
      <c r="J311" s="1"/>
      <c r="K311"/>
      <c r="L311" s="2"/>
      <c r="M311" s="2"/>
      <c r="N311" s="1"/>
      <c r="O311" s="1"/>
      <c r="P311" s="3"/>
      <c r="Q311" s="4"/>
      <c r="R311" s="4"/>
      <c r="S311" s="4"/>
      <c r="T311" s="4"/>
      <c r="U311" s="2"/>
      <c r="V311" s="2"/>
      <c r="W311" s="3"/>
      <c r="X311" s="3"/>
      <c r="Y311" s="3"/>
      <c r="Z311" s="3"/>
      <c r="AA311" s="4"/>
      <c r="AB311" s="3"/>
      <c r="AC311" s="8"/>
      <c r="AD311" s="8"/>
      <c r="AE311" s="3"/>
      <c r="AF311" s="3"/>
      <c r="AG311" s="2"/>
      <c r="AH311" s="2"/>
      <c r="AI311" s="3"/>
      <c r="AJ311" s="3"/>
      <c r="AK311" s="1"/>
      <c r="AL311" s="1"/>
      <c r="AM311" s="1"/>
      <c r="AN311" s="1"/>
      <c r="AO311" s="1"/>
      <c r="AP311"/>
      <c r="AQ311"/>
      <c r="AR311"/>
    </row>
    <row r="312" spans="1:44" s="26" customFormat="1" x14ac:dyDescent="0.3">
      <c r="A312" s="5"/>
      <c r="B312" s="12"/>
      <c r="C312"/>
      <c r="D312"/>
      <c r="E312"/>
      <c r="F312"/>
      <c r="G312"/>
      <c r="H312"/>
      <c r="I312" s="2"/>
      <c r="J312" s="1"/>
      <c r="K312"/>
      <c r="L312" s="2"/>
      <c r="M312" s="2"/>
      <c r="N312" s="1"/>
      <c r="O312" s="1"/>
      <c r="P312" s="3"/>
      <c r="Q312" s="4"/>
      <c r="R312" s="4"/>
      <c r="S312" s="4"/>
      <c r="T312" s="4"/>
      <c r="U312" s="2"/>
      <c r="V312" s="2"/>
      <c r="W312" s="3"/>
      <c r="X312" s="3"/>
      <c r="Y312" s="3"/>
      <c r="Z312" s="3"/>
      <c r="AA312" s="4"/>
      <c r="AB312" s="3"/>
      <c r="AC312" s="3"/>
      <c r="AD312" s="3"/>
      <c r="AE312" s="3"/>
      <c r="AF312" s="3"/>
      <c r="AG312" s="2"/>
      <c r="AH312" s="2"/>
      <c r="AI312" s="3"/>
      <c r="AJ312" s="3"/>
      <c r="AK312" s="1"/>
      <c r="AL312" s="1"/>
      <c r="AM312" s="1"/>
      <c r="AN312" s="1"/>
      <c r="AO312" s="1"/>
      <c r="AP312"/>
      <c r="AQ312"/>
      <c r="AR312"/>
    </row>
    <row r="313" spans="1:44" s="26" customFormat="1" x14ac:dyDescent="0.3">
      <c r="A313" s="5"/>
      <c r="B313" s="12"/>
      <c r="C313"/>
      <c r="D313"/>
      <c r="E313"/>
      <c r="F313" s="11"/>
      <c r="G313" s="11"/>
      <c r="H313"/>
      <c r="I313" s="2"/>
      <c r="J313" s="1"/>
      <c r="K313"/>
      <c r="L313" s="2"/>
      <c r="M313" s="2"/>
      <c r="N313" s="1"/>
      <c r="O313" s="1"/>
      <c r="P313" s="3"/>
      <c r="Q313" s="4"/>
      <c r="R313" s="4"/>
      <c r="S313" s="4"/>
      <c r="T313" s="4"/>
      <c r="U313" s="2"/>
      <c r="V313" s="2"/>
      <c r="W313" s="3"/>
      <c r="X313" s="3"/>
      <c r="Y313" s="3"/>
      <c r="Z313" s="3"/>
      <c r="AA313" s="4"/>
      <c r="AB313" s="3"/>
      <c r="AC313" s="8"/>
      <c r="AD313" s="8"/>
      <c r="AE313" s="3"/>
      <c r="AF313" s="3"/>
      <c r="AG313" s="2"/>
      <c r="AH313" s="2"/>
      <c r="AI313" s="3"/>
      <c r="AJ313" s="3"/>
      <c r="AK313" s="1"/>
      <c r="AL313" s="1"/>
      <c r="AM313" s="1"/>
      <c r="AN313" s="1"/>
      <c r="AO313" s="1"/>
      <c r="AP313"/>
      <c r="AQ313" s="13"/>
      <c r="AR313" s="13"/>
    </row>
    <row r="314" spans="1:44" s="26" customFormat="1" x14ac:dyDescent="0.3">
      <c r="A314" s="5"/>
      <c r="B314" s="12"/>
      <c r="C314"/>
      <c r="D314"/>
      <c r="E314"/>
      <c r="F314" s="11"/>
      <c r="G314" s="11"/>
      <c r="H314"/>
      <c r="I314" s="2"/>
      <c r="J314" s="1"/>
      <c r="K314"/>
      <c r="L314" s="2"/>
      <c r="M314" s="2"/>
      <c r="N314" s="1"/>
      <c r="O314" s="1"/>
      <c r="P314" s="3"/>
      <c r="Q314" s="4"/>
      <c r="R314" s="4"/>
      <c r="S314" s="4"/>
      <c r="T314" s="4"/>
      <c r="U314" s="2"/>
      <c r="V314" s="2"/>
      <c r="W314" s="3"/>
      <c r="X314" s="3"/>
      <c r="Y314" s="3"/>
      <c r="Z314" s="3"/>
      <c r="AA314" s="4"/>
      <c r="AB314" s="3"/>
      <c r="AC314" s="8"/>
      <c r="AD314" s="8"/>
      <c r="AE314" s="3"/>
      <c r="AF314" s="3"/>
      <c r="AG314" s="2"/>
      <c r="AH314" s="2"/>
      <c r="AI314" s="3"/>
      <c r="AJ314" s="3"/>
      <c r="AK314" s="1"/>
      <c r="AL314" s="1"/>
      <c r="AM314" s="1"/>
      <c r="AN314" s="1"/>
      <c r="AO314" s="1"/>
      <c r="AP314"/>
      <c r="AQ314"/>
      <c r="AR314"/>
    </row>
    <row r="316" spans="1:44" x14ac:dyDescent="0.3">
      <c r="F316" s="11"/>
      <c r="G316" s="11"/>
      <c r="AC316" s="8"/>
      <c r="AD316" s="8"/>
      <c r="AQ316" s="13"/>
      <c r="AR316" s="13"/>
    </row>
    <row r="317" spans="1:44" x14ac:dyDescent="0.3">
      <c r="AC317" s="8"/>
      <c r="AD317" s="8"/>
    </row>
    <row r="322" spans="6:44" x14ac:dyDescent="0.3">
      <c r="F322" s="11"/>
      <c r="G322" s="11"/>
      <c r="AC322" s="8"/>
      <c r="AD322" s="8"/>
    </row>
    <row r="324" spans="6:44" x14ac:dyDescent="0.3">
      <c r="F324" s="11"/>
      <c r="G324" s="11"/>
      <c r="AC324" s="8"/>
      <c r="AD324" s="8"/>
      <c r="AQ324" s="13"/>
      <c r="AR324" s="13"/>
    </row>
    <row r="325" spans="6:44" x14ac:dyDescent="0.3">
      <c r="F325" s="11"/>
      <c r="G325" s="11"/>
      <c r="AC325" s="8"/>
      <c r="AD325" s="8"/>
    </row>
    <row r="327" spans="6:44" x14ac:dyDescent="0.3">
      <c r="F327" s="11"/>
      <c r="G327" s="11"/>
      <c r="AC327" s="8"/>
      <c r="AD327" s="8"/>
      <c r="AQ327" s="13"/>
      <c r="AR327" s="13"/>
    </row>
    <row r="328" spans="6:44" x14ac:dyDescent="0.3">
      <c r="F328" s="11"/>
      <c r="G328" s="11"/>
      <c r="AC328" s="8"/>
      <c r="AD328" s="8"/>
    </row>
    <row r="330" spans="6:44" x14ac:dyDescent="0.3">
      <c r="F330" s="11"/>
      <c r="G330" s="11"/>
      <c r="AC330" s="8"/>
      <c r="AD330" s="8"/>
      <c r="AQ330" s="13"/>
      <c r="AR330" s="13"/>
    </row>
    <row r="331" spans="6:44" x14ac:dyDescent="0.3">
      <c r="F331" s="11"/>
      <c r="G331" s="11"/>
      <c r="AC331" s="8"/>
      <c r="AD331" s="8"/>
    </row>
    <row r="333" spans="6:44" x14ac:dyDescent="0.3">
      <c r="F333" s="11"/>
      <c r="G333" s="11"/>
      <c r="AC333" s="8"/>
      <c r="AD333" s="8"/>
      <c r="AQ333" s="13"/>
      <c r="AR333" s="13"/>
    </row>
    <row r="334" spans="6:44" x14ac:dyDescent="0.3">
      <c r="F334" s="11"/>
      <c r="G334" s="11"/>
      <c r="AC334" s="8"/>
      <c r="AD334" s="8"/>
    </row>
    <row r="335" spans="6:44" x14ac:dyDescent="0.3">
      <c r="F335" s="11"/>
      <c r="G335" s="11"/>
      <c r="AC335" s="8"/>
      <c r="AD335" s="8"/>
    </row>
    <row r="337" spans="1:44" x14ac:dyDescent="0.3">
      <c r="F337" s="11"/>
      <c r="G337" s="11"/>
      <c r="AC337" s="8"/>
      <c r="AD337" s="8"/>
      <c r="AQ337" s="13"/>
      <c r="AR337" s="13"/>
    </row>
    <row r="338" spans="1:44" x14ac:dyDescent="0.3">
      <c r="F338" s="11"/>
      <c r="G338" s="11"/>
      <c r="AC338" s="8"/>
      <c r="AD338" s="8"/>
    </row>
    <row r="340" spans="1:44" s="7" customFormat="1" x14ac:dyDescent="0.3">
      <c r="A340" s="5"/>
      <c r="B340" s="12"/>
      <c r="C340"/>
      <c r="D340"/>
      <c r="E340"/>
      <c r="F340" s="11"/>
      <c r="G340" s="11"/>
      <c r="H340"/>
      <c r="I340" s="2"/>
      <c r="J340" s="1"/>
      <c r="K340"/>
      <c r="L340" s="2"/>
      <c r="M340" s="2"/>
      <c r="N340" s="1"/>
      <c r="O340" s="1"/>
      <c r="P340" s="3"/>
      <c r="Q340" s="4"/>
      <c r="R340" s="4"/>
      <c r="S340" s="4"/>
      <c r="T340" s="4"/>
      <c r="U340" s="2"/>
      <c r="V340" s="2"/>
      <c r="W340" s="3"/>
      <c r="X340" s="3"/>
      <c r="Y340" s="3"/>
      <c r="Z340" s="3"/>
      <c r="AA340" s="4"/>
      <c r="AB340" s="3"/>
      <c r="AC340" s="8"/>
      <c r="AD340" s="8"/>
      <c r="AE340" s="3"/>
      <c r="AF340" s="3"/>
      <c r="AG340" s="2"/>
      <c r="AH340" s="2"/>
      <c r="AI340" s="3"/>
      <c r="AJ340" s="3"/>
      <c r="AK340" s="1"/>
      <c r="AL340" s="1"/>
      <c r="AM340" s="1"/>
      <c r="AN340" s="1"/>
      <c r="AO340" s="1"/>
      <c r="AP340"/>
      <c r="AQ340" s="13"/>
      <c r="AR340" s="13"/>
    </row>
    <row r="341" spans="1:44" x14ac:dyDescent="0.3">
      <c r="F341" s="11"/>
      <c r="G341" s="11"/>
      <c r="AC341" s="8"/>
      <c r="AD341" s="8"/>
    </row>
    <row r="343" spans="1:44" x14ac:dyDescent="0.3">
      <c r="F343" s="11"/>
      <c r="G343" s="11"/>
      <c r="AC343" s="8"/>
      <c r="AD343" s="8"/>
      <c r="AQ343" s="13"/>
      <c r="AR343" s="13"/>
    </row>
    <row r="344" spans="1:44" x14ac:dyDescent="0.3">
      <c r="F344" s="11"/>
      <c r="G344" s="11"/>
      <c r="AC344" s="8"/>
      <c r="AD344" s="8"/>
    </row>
    <row r="346" spans="1:44" x14ac:dyDescent="0.3">
      <c r="F346" s="11"/>
      <c r="G346" s="11"/>
      <c r="AC346" s="8"/>
      <c r="AD346" s="8"/>
      <c r="AQ346" s="13"/>
      <c r="AR346" s="13"/>
    </row>
    <row r="347" spans="1:44" x14ac:dyDescent="0.3">
      <c r="F347" s="11"/>
      <c r="G347" s="11"/>
      <c r="AC347" s="8"/>
      <c r="AD347" s="8"/>
    </row>
    <row r="349" spans="1:44" x14ac:dyDescent="0.3">
      <c r="F349" s="11"/>
      <c r="G349" s="11"/>
      <c r="AC349" s="8"/>
      <c r="AD349" s="8"/>
      <c r="AQ349" s="13"/>
      <c r="AR349" s="13"/>
    </row>
    <row r="350" spans="1:44" x14ac:dyDescent="0.3">
      <c r="F350" s="11"/>
      <c r="G350" s="11"/>
      <c r="AC350" s="8"/>
      <c r="AD350" s="8"/>
    </row>
    <row r="352" spans="1:44" x14ac:dyDescent="0.3">
      <c r="F352" s="11"/>
      <c r="G352" s="11"/>
      <c r="AC352" s="8"/>
      <c r="AD352" s="8"/>
      <c r="AQ352" s="13"/>
      <c r="AR352" s="13"/>
    </row>
    <row r="353" spans="6:44" x14ac:dyDescent="0.3">
      <c r="F353" s="11"/>
      <c r="G353" s="11"/>
      <c r="AC353" s="8"/>
      <c r="AD353" s="8"/>
    </row>
    <row r="355" spans="6:44" x14ac:dyDescent="0.3">
      <c r="F355" s="11"/>
      <c r="G355" s="11"/>
      <c r="AC355" s="8"/>
      <c r="AD355" s="8"/>
      <c r="AQ355" s="13"/>
      <c r="AR355" s="13"/>
    </row>
    <row r="356" spans="6:44" x14ac:dyDescent="0.3">
      <c r="F356" s="11"/>
      <c r="G356" s="11"/>
      <c r="AC356" s="8"/>
      <c r="AD356" s="8"/>
    </row>
    <row r="358" spans="6:44" x14ac:dyDescent="0.3">
      <c r="F358" s="11"/>
      <c r="G358" s="11"/>
      <c r="AC358" s="8"/>
      <c r="AD358" s="8"/>
      <c r="AQ358" s="13"/>
      <c r="AR358" s="13"/>
    </row>
    <row r="359" spans="6:44" x14ac:dyDescent="0.3">
      <c r="F359" s="11"/>
      <c r="G359" s="11"/>
      <c r="AC359" s="8"/>
      <c r="AD359" s="8"/>
    </row>
    <row r="360" spans="6:44" x14ac:dyDescent="0.3">
      <c r="F360" s="11"/>
      <c r="G360" s="11"/>
      <c r="AC360" s="8"/>
      <c r="AD360" s="8"/>
      <c r="AQ360" s="13"/>
      <c r="AR360" s="13"/>
    </row>
    <row r="361" spans="6:44" x14ac:dyDescent="0.3">
      <c r="F361" s="11"/>
      <c r="G361" s="11"/>
      <c r="AC361" s="8"/>
      <c r="AD361" s="8"/>
      <c r="AQ361" s="13"/>
      <c r="AR361" s="13"/>
    </row>
    <row r="362" spans="6:44" x14ac:dyDescent="0.3">
      <c r="F362" s="11"/>
      <c r="G362" s="11"/>
      <c r="AC362" s="8"/>
      <c r="AD362" s="8"/>
      <c r="AQ362" s="13"/>
      <c r="AR362" s="13"/>
    </row>
    <row r="363" spans="6:44" x14ac:dyDescent="0.3">
      <c r="F363" s="11"/>
      <c r="G363" s="11"/>
      <c r="AC363" s="8"/>
      <c r="AD363" s="8"/>
      <c r="AQ363" s="13"/>
      <c r="AR363" s="13"/>
    </row>
    <row r="364" spans="6:44" x14ac:dyDescent="0.3">
      <c r="F364" s="11"/>
      <c r="G364" s="11"/>
      <c r="AC364" s="8"/>
      <c r="AD364" s="8"/>
      <c r="AQ364" s="13"/>
      <c r="AR364" s="13"/>
    </row>
    <row r="365" spans="6:44" x14ac:dyDescent="0.3">
      <c r="F365" s="11"/>
      <c r="G365" s="11"/>
      <c r="AC365" s="8"/>
      <c r="AD365" s="8"/>
      <c r="AQ365" s="13"/>
      <c r="AR365" s="13"/>
    </row>
    <row r="366" spans="6:44" x14ac:dyDescent="0.3">
      <c r="F366" s="11"/>
      <c r="G366" s="11"/>
      <c r="AC366" s="8"/>
      <c r="AD366" s="8"/>
      <c r="AQ366" s="13"/>
      <c r="AR366" s="13"/>
    </row>
    <row r="367" spans="6:44" x14ac:dyDescent="0.3">
      <c r="F367" s="11"/>
      <c r="G367" s="11"/>
      <c r="AC367" s="8"/>
      <c r="AD367" s="8"/>
      <c r="AQ367" s="13"/>
      <c r="AR367" s="13"/>
    </row>
    <row r="368" spans="6:44" x14ac:dyDescent="0.3">
      <c r="F368" s="11"/>
      <c r="G368" s="11"/>
      <c r="AC368" s="8"/>
      <c r="AD368" s="8"/>
      <c r="AQ368" s="13"/>
      <c r="AR368" s="13"/>
    </row>
    <row r="369" spans="1:44" x14ac:dyDescent="0.3">
      <c r="F369" s="11"/>
      <c r="G369" s="11"/>
      <c r="AC369" s="8"/>
      <c r="AD369" s="8"/>
      <c r="AQ369" s="13"/>
      <c r="AR369" s="13"/>
    </row>
    <row r="370" spans="1:44" x14ac:dyDescent="0.3">
      <c r="F370" s="11"/>
      <c r="G370" s="11"/>
      <c r="AC370" s="8"/>
      <c r="AD370" s="8"/>
      <c r="AQ370" s="13"/>
      <c r="AR370" s="13"/>
    </row>
    <row r="371" spans="1:44" x14ac:dyDescent="0.3">
      <c r="F371" s="11"/>
      <c r="G371" s="11"/>
      <c r="AC371" s="8"/>
      <c r="AD371" s="8"/>
      <c r="AQ371" s="13"/>
      <c r="AR371" s="13"/>
    </row>
    <row r="372" spans="1:44" s="7" customFormat="1" x14ac:dyDescent="0.3">
      <c r="A372" s="5"/>
      <c r="B372" s="12"/>
      <c r="C372"/>
      <c r="D372"/>
      <c r="E372"/>
      <c r="F372" s="11"/>
      <c r="G372" s="11"/>
      <c r="H372"/>
      <c r="I372" s="2"/>
      <c r="J372" s="1"/>
      <c r="K372"/>
      <c r="L372" s="2"/>
      <c r="M372" s="2"/>
      <c r="N372" s="1"/>
      <c r="O372" s="1"/>
      <c r="P372" s="3"/>
      <c r="Q372" s="4"/>
      <c r="R372" s="4"/>
      <c r="S372" s="4"/>
      <c r="T372" s="4"/>
      <c r="U372" s="2"/>
      <c r="V372" s="2"/>
      <c r="W372" s="3"/>
      <c r="X372" s="3"/>
      <c r="Y372" s="3"/>
      <c r="Z372" s="3"/>
      <c r="AA372" s="4"/>
      <c r="AB372" s="3"/>
      <c r="AC372" s="8"/>
      <c r="AD372" s="8"/>
      <c r="AE372" s="3"/>
      <c r="AF372" s="3"/>
      <c r="AG372" s="2"/>
      <c r="AH372" s="2"/>
      <c r="AI372" s="3"/>
      <c r="AJ372" s="3"/>
      <c r="AK372" s="1"/>
      <c r="AL372" s="1"/>
      <c r="AM372" s="1"/>
      <c r="AN372" s="1"/>
      <c r="AO372" s="1"/>
      <c r="AP372"/>
      <c r="AQ372" s="13"/>
      <c r="AR372" s="13"/>
    </row>
    <row r="373" spans="1:44" x14ac:dyDescent="0.3">
      <c r="F373" s="11"/>
      <c r="G373" s="11"/>
      <c r="AC373" s="8"/>
      <c r="AD373" s="8"/>
      <c r="AQ373" s="13"/>
      <c r="AR373" s="13"/>
    </row>
    <row r="374" spans="1:44" x14ac:dyDescent="0.3">
      <c r="F374" s="11"/>
      <c r="G374" s="11"/>
      <c r="AC374" s="8"/>
      <c r="AD374" s="8"/>
      <c r="AQ374" s="13"/>
      <c r="AR374" s="13"/>
    </row>
    <row r="375" spans="1:44" x14ac:dyDescent="0.3">
      <c r="F375" s="11"/>
      <c r="G375" s="11"/>
      <c r="AC375" s="8"/>
      <c r="AD375" s="8"/>
      <c r="AQ375" s="13"/>
      <c r="AR375" s="13"/>
    </row>
    <row r="376" spans="1:44" x14ac:dyDescent="0.3">
      <c r="F376" s="11"/>
      <c r="G376" s="11"/>
      <c r="AC376" s="8"/>
      <c r="AD376" s="8"/>
      <c r="AQ376" s="13"/>
      <c r="AR376" s="13"/>
    </row>
    <row r="377" spans="1:44" x14ac:dyDescent="0.3">
      <c r="F377" s="11"/>
      <c r="G377" s="11"/>
      <c r="Z377" s="22"/>
      <c r="AC377" s="8"/>
      <c r="AD377" s="8"/>
      <c r="AQ377" s="13"/>
      <c r="AR377" s="13"/>
    </row>
    <row r="378" spans="1:44" x14ac:dyDescent="0.3">
      <c r="F378" s="11"/>
      <c r="G378" s="11"/>
      <c r="Z378" s="22"/>
      <c r="AC378" s="8"/>
      <c r="AD378" s="8"/>
      <c r="AQ378" s="13"/>
      <c r="AR378" s="13"/>
    </row>
    <row r="379" spans="1:44" x14ac:dyDescent="0.3">
      <c r="F379" s="11"/>
      <c r="G379" s="11"/>
      <c r="Z379" s="22"/>
      <c r="AC379" s="8"/>
      <c r="AD379" s="8"/>
      <c r="AQ379" s="13"/>
      <c r="AR379" s="13"/>
    </row>
    <row r="380" spans="1:44" x14ac:dyDescent="0.3">
      <c r="F380" s="11"/>
      <c r="G380" s="11"/>
      <c r="Z380" s="22"/>
      <c r="AC380" s="8"/>
      <c r="AD380" s="8"/>
      <c r="AQ380" s="13"/>
      <c r="AR380" s="13"/>
    </row>
    <row r="381" spans="1:44" x14ac:dyDescent="0.3">
      <c r="F381" s="11"/>
      <c r="G381" s="11"/>
      <c r="Z381" s="22"/>
      <c r="AC381" s="8"/>
      <c r="AD381" s="8"/>
      <c r="AQ381" s="13"/>
      <c r="AR381" s="13"/>
    </row>
    <row r="382" spans="1:44" x14ac:dyDescent="0.3">
      <c r="F382" s="11"/>
      <c r="G382" s="11"/>
      <c r="Z382" s="22"/>
      <c r="AC382" s="8"/>
      <c r="AD382" s="8"/>
      <c r="AQ382" s="13"/>
      <c r="AR382" s="13"/>
    </row>
    <row r="383" spans="1:44" x14ac:dyDescent="0.3">
      <c r="F383" s="11"/>
      <c r="G383" s="11"/>
      <c r="J383" s="14"/>
      <c r="Z383" s="22"/>
      <c r="AC383" s="8"/>
      <c r="AD383" s="8"/>
      <c r="AQ383" s="13"/>
      <c r="AR383" s="13"/>
    </row>
    <row r="384" spans="1:44" x14ac:dyDescent="0.3">
      <c r="F384" s="11"/>
      <c r="G384" s="11"/>
      <c r="J384" s="14"/>
      <c r="Z384" s="22"/>
      <c r="AC384" s="8"/>
      <c r="AD384" s="8"/>
      <c r="AQ384" s="13"/>
      <c r="AR384" s="13"/>
    </row>
    <row r="385" spans="1:44" x14ac:dyDescent="0.3">
      <c r="F385" s="11"/>
      <c r="G385" s="11"/>
      <c r="J385" s="14"/>
      <c r="Z385" s="22"/>
      <c r="AC385" s="8"/>
      <c r="AD385" s="8"/>
      <c r="AQ385" s="13"/>
      <c r="AR385" s="13"/>
    </row>
    <row r="386" spans="1:44" x14ac:dyDescent="0.3">
      <c r="F386" s="11"/>
      <c r="G386" s="11"/>
      <c r="J386" s="14"/>
      <c r="Z386" s="22"/>
      <c r="AC386" s="8"/>
      <c r="AD386" s="8"/>
      <c r="AQ386" s="13"/>
      <c r="AR386" s="13"/>
    </row>
    <row r="387" spans="1:44" x14ac:dyDescent="0.3">
      <c r="F387" s="11"/>
      <c r="G387" s="11"/>
      <c r="AC387" s="8"/>
      <c r="AD387" s="8"/>
      <c r="AQ387" s="13"/>
      <c r="AR387" s="13"/>
    </row>
    <row r="388" spans="1:44" x14ac:dyDescent="0.3">
      <c r="F388" s="11"/>
      <c r="G388" s="11"/>
      <c r="AC388" s="8"/>
      <c r="AD388" s="8"/>
      <c r="AQ388" s="13"/>
      <c r="AR388" s="13"/>
    </row>
    <row r="389" spans="1:44" x14ac:dyDescent="0.3">
      <c r="AQ389" s="13"/>
      <c r="AR389" s="13"/>
    </row>
    <row r="390" spans="1:44" x14ac:dyDescent="0.3">
      <c r="F390" s="11"/>
      <c r="G390" s="11"/>
      <c r="AC390" s="8"/>
      <c r="AD390" s="8"/>
      <c r="AQ390" s="13"/>
      <c r="AR390" s="13"/>
    </row>
    <row r="392" spans="1:44" x14ac:dyDescent="0.3">
      <c r="F392" s="11"/>
      <c r="G392" s="11"/>
    </row>
    <row r="393" spans="1:44" x14ac:dyDescent="0.3">
      <c r="E393" s="54"/>
      <c r="F393" s="55"/>
      <c r="G393" s="55"/>
      <c r="N393" s="4"/>
      <c r="AC393" s="8"/>
      <c r="AD393" s="8"/>
      <c r="AQ393" s="13"/>
      <c r="AR393" s="13"/>
    </row>
    <row r="394" spans="1:44" x14ac:dyDescent="0.3">
      <c r="O394" s="6"/>
      <c r="AC394" s="6"/>
      <c r="AD394" s="8"/>
      <c r="AE394" s="8"/>
      <c r="AF394" s="6"/>
      <c r="AQ394" s="13"/>
      <c r="AR394" s="13"/>
    </row>
    <row r="395" spans="1:44" x14ac:dyDescent="0.3">
      <c r="A395" s="45"/>
      <c r="B395" s="46"/>
      <c r="C395" s="7"/>
      <c r="D395" s="7"/>
      <c r="E395" s="7"/>
      <c r="F395" s="47"/>
      <c r="G395" s="47"/>
      <c r="H395" s="7"/>
      <c r="I395" s="15"/>
      <c r="J395" s="20"/>
      <c r="K395" s="7"/>
      <c r="L395" s="15"/>
      <c r="M395" s="15"/>
      <c r="N395" s="15"/>
      <c r="O395" s="15"/>
      <c r="P395" s="15"/>
      <c r="Q395" s="15"/>
      <c r="R395" s="15"/>
      <c r="S395" s="15"/>
      <c r="T395" s="15"/>
      <c r="U395" s="15"/>
      <c r="V395" s="15"/>
      <c r="W395" s="15"/>
      <c r="X395" s="15"/>
      <c r="Y395" s="15"/>
      <c r="Z395" s="15"/>
      <c r="AA395" s="15"/>
      <c r="AB395" s="15"/>
      <c r="AC395" s="15"/>
      <c r="AD395" s="15"/>
      <c r="AE395" s="15"/>
      <c r="AF395" s="15"/>
      <c r="AG395" s="15"/>
      <c r="AH395" s="15"/>
      <c r="AI395" s="15"/>
      <c r="AJ395" s="32"/>
      <c r="AK395" s="20"/>
      <c r="AL395" s="20"/>
      <c r="AM395" s="20"/>
      <c r="AN395" s="20"/>
      <c r="AO395" s="20"/>
      <c r="AP395" s="7"/>
      <c r="AQ395" s="48"/>
      <c r="AR395" s="48"/>
    </row>
    <row r="396" spans="1:44" x14ac:dyDescent="0.3">
      <c r="A396" s="45"/>
      <c r="B396" s="46"/>
      <c r="C396" s="7"/>
      <c r="D396" s="7"/>
      <c r="E396" s="7"/>
      <c r="F396" s="47"/>
      <c r="G396" s="47"/>
      <c r="H396" s="7"/>
      <c r="I396" s="15"/>
      <c r="J396" s="51"/>
      <c r="K396" s="7"/>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32"/>
      <c r="AK396" s="20"/>
      <c r="AL396" s="20"/>
      <c r="AM396" s="20"/>
      <c r="AN396" s="20"/>
      <c r="AO396" s="20"/>
      <c r="AP396" s="7"/>
      <c r="AQ396" s="48"/>
      <c r="AR396" s="48"/>
    </row>
    <row r="397" spans="1:44" x14ac:dyDescent="0.3">
      <c r="A397" s="45"/>
      <c r="B397" s="46"/>
      <c r="C397" s="7"/>
      <c r="D397" s="7"/>
      <c r="E397" s="7"/>
      <c r="F397" s="47"/>
      <c r="G397" s="47"/>
      <c r="H397" s="7"/>
      <c r="I397" s="15"/>
      <c r="J397" s="51"/>
      <c r="K397" s="7"/>
      <c r="L397" s="15"/>
      <c r="M397" s="15"/>
      <c r="N397" s="15"/>
      <c r="O397" s="15"/>
      <c r="P397" s="15"/>
      <c r="Q397" s="15"/>
      <c r="R397" s="15"/>
      <c r="S397" s="15"/>
      <c r="T397" s="15"/>
      <c r="U397" s="15"/>
      <c r="V397" s="15"/>
      <c r="W397" s="15"/>
      <c r="X397" s="15"/>
      <c r="Y397" s="15"/>
      <c r="Z397" s="15"/>
      <c r="AA397" s="15"/>
      <c r="AB397" s="15"/>
      <c r="AC397" s="15"/>
      <c r="AD397" s="15"/>
      <c r="AE397" s="15"/>
      <c r="AF397" s="15"/>
      <c r="AG397" s="15"/>
      <c r="AH397" s="15"/>
      <c r="AI397" s="15"/>
      <c r="AJ397" s="32"/>
      <c r="AK397" s="20"/>
      <c r="AL397" s="20"/>
      <c r="AM397" s="20"/>
      <c r="AN397" s="20"/>
      <c r="AO397" s="20"/>
      <c r="AP397" s="7"/>
      <c r="AQ397" s="48"/>
      <c r="AR397" s="48"/>
    </row>
    <row r="398" spans="1:44" x14ac:dyDescent="0.3">
      <c r="A398" s="45"/>
      <c r="B398" s="46"/>
      <c r="C398" s="7"/>
      <c r="D398" s="7"/>
      <c r="E398" s="7"/>
      <c r="F398" s="47"/>
      <c r="G398" s="47"/>
      <c r="H398" s="7"/>
      <c r="I398" s="15"/>
      <c r="J398" s="20"/>
      <c r="K398" s="7"/>
      <c r="L398" s="15"/>
      <c r="M398" s="15"/>
      <c r="N398" s="20"/>
      <c r="O398" s="20"/>
      <c r="P398" s="20"/>
      <c r="Q398" s="20"/>
      <c r="R398" s="20"/>
      <c r="S398" s="20"/>
      <c r="T398" s="20"/>
      <c r="U398" s="20"/>
      <c r="V398" s="20"/>
      <c r="W398" s="30"/>
      <c r="X398" s="30"/>
      <c r="Y398" s="30"/>
      <c r="Z398" s="30"/>
      <c r="AA398" s="20"/>
      <c r="AB398" s="20"/>
      <c r="AC398" s="20"/>
      <c r="AD398" s="30"/>
      <c r="AE398" s="30"/>
      <c r="AF398" s="30"/>
      <c r="AG398" s="30"/>
      <c r="AH398" s="30"/>
      <c r="AI398" s="30"/>
      <c r="AJ398" s="32"/>
      <c r="AK398" s="20"/>
      <c r="AL398" s="20"/>
      <c r="AM398" s="20"/>
      <c r="AN398" s="20"/>
      <c r="AO398" s="20"/>
      <c r="AP398" s="7"/>
      <c r="AQ398" s="48"/>
      <c r="AR398" s="48"/>
    </row>
    <row r="399" spans="1:44" x14ac:dyDescent="0.3">
      <c r="A399" s="45"/>
      <c r="B399" s="46"/>
      <c r="C399" s="7"/>
      <c r="D399" s="7"/>
      <c r="E399" s="7"/>
      <c r="F399" s="47"/>
      <c r="G399" s="47"/>
      <c r="H399" s="7"/>
      <c r="I399" s="15"/>
      <c r="J399" s="20"/>
      <c r="K399" s="7"/>
      <c r="L399" s="15"/>
      <c r="M399" s="15"/>
      <c r="N399" s="20"/>
      <c r="O399" s="20"/>
      <c r="P399" s="32"/>
      <c r="Q399" s="19"/>
      <c r="R399" s="19"/>
      <c r="S399" s="19"/>
      <c r="T399" s="19"/>
      <c r="U399" s="15"/>
      <c r="V399" s="15"/>
      <c r="W399" s="32"/>
      <c r="X399" s="32"/>
      <c r="Y399" s="32"/>
      <c r="Z399" s="32"/>
      <c r="AA399" s="19"/>
      <c r="AB399" s="32"/>
      <c r="AC399" s="32"/>
      <c r="AD399" s="32"/>
      <c r="AE399" s="32"/>
      <c r="AF399" s="32"/>
      <c r="AG399" s="15"/>
      <c r="AH399" s="15"/>
      <c r="AI399" s="32"/>
      <c r="AJ399" s="32"/>
      <c r="AK399" s="20"/>
      <c r="AL399" s="20"/>
      <c r="AM399" s="20"/>
      <c r="AN399" s="20"/>
      <c r="AO399" s="20"/>
      <c r="AP399" s="7"/>
      <c r="AQ399" s="48"/>
      <c r="AR399" s="48"/>
    </row>
    <row r="400" spans="1:44" x14ac:dyDescent="0.3">
      <c r="A400" s="45"/>
      <c r="B400" s="46"/>
      <c r="C400" s="7"/>
      <c r="D400" s="7"/>
      <c r="E400" s="7"/>
      <c r="F400" s="47"/>
      <c r="G400" s="47"/>
      <c r="H400" s="7"/>
      <c r="I400" s="15"/>
      <c r="J400" s="20"/>
      <c r="K400" s="7"/>
      <c r="L400" s="15"/>
      <c r="M400" s="15"/>
      <c r="N400" s="20"/>
      <c r="O400" s="20"/>
      <c r="P400" s="32"/>
      <c r="Q400" s="19"/>
      <c r="R400" s="19"/>
      <c r="S400" s="19"/>
      <c r="T400" s="19"/>
      <c r="U400" s="15"/>
      <c r="V400" s="15"/>
      <c r="W400" s="32"/>
      <c r="X400" s="32"/>
      <c r="Y400" s="32"/>
      <c r="Z400" s="32"/>
      <c r="AA400" s="19"/>
      <c r="AB400" s="32"/>
      <c r="AC400" s="32"/>
      <c r="AD400" s="32"/>
      <c r="AE400" s="32"/>
      <c r="AF400" s="32"/>
      <c r="AG400" s="15"/>
      <c r="AH400" s="15"/>
      <c r="AI400" s="32"/>
      <c r="AJ400" s="32"/>
      <c r="AK400" s="20"/>
      <c r="AL400" s="20"/>
      <c r="AM400" s="20"/>
      <c r="AN400" s="20"/>
      <c r="AO400" s="20"/>
      <c r="AP400" s="7"/>
      <c r="AQ400" s="48"/>
      <c r="AR400" s="48"/>
    </row>
    <row r="401" spans="1:44" x14ac:dyDescent="0.3">
      <c r="A401" s="45"/>
      <c r="B401" s="46"/>
      <c r="C401" s="7"/>
      <c r="D401" s="7"/>
      <c r="E401" s="7"/>
      <c r="F401" s="47"/>
      <c r="G401" s="47"/>
      <c r="H401" s="7"/>
      <c r="I401" s="15"/>
      <c r="J401" s="20"/>
      <c r="K401" s="7"/>
      <c r="L401" s="15"/>
      <c r="M401" s="15"/>
      <c r="N401" s="20"/>
      <c r="O401" s="20"/>
      <c r="P401" s="32"/>
      <c r="Q401" s="19"/>
      <c r="R401" s="19"/>
      <c r="S401" s="19"/>
      <c r="T401" s="19"/>
      <c r="U401" s="15"/>
      <c r="V401" s="15"/>
      <c r="W401" s="32"/>
      <c r="X401" s="32"/>
      <c r="Y401" s="32"/>
      <c r="Z401" s="32"/>
      <c r="AA401" s="19"/>
      <c r="AB401" s="32"/>
      <c r="AC401" s="32"/>
      <c r="AD401" s="32"/>
      <c r="AE401" s="32"/>
      <c r="AF401" s="32"/>
      <c r="AG401" s="15"/>
      <c r="AH401" s="15"/>
      <c r="AI401" s="32"/>
      <c r="AJ401" s="32"/>
      <c r="AK401" s="20"/>
      <c r="AL401" s="20"/>
      <c r="AM401" s="20"/>
      <c r="AN401" s="20"/>
      <c r="AO401" s="20"/>
      <c r="AP401" s="7"/>
      <c r="AQ401" s="48"/>
      <c r="AR401" s="48"/>
    </row>
    <row r="402" spans="1:44" x14ac:dyDescent="0.3">
      <c r="A402" s="45"/>
      <c r="B402" s="46"/>
      <c r="C402" s="7"/>
      <c r="D402" s="7"/>
      <c r="E402" s="7"/>
      <c r="F402" s="47"/>
      <c r="G402" s="47"/>
      <c r="H402" s="7"/>
      <c r="I402" s="15"/>
      <c r="J402" s="20"/>
      <c r="K402" s="7"/>
      <c r="L402" s="15"/>
      <c r="M402" s="15"/>
      <c r="N402" s="20"/>
      <c r="O402" s="20"/>
      <c r="P402" s="32"/>
      <c r="Q402" s="19"/>
      <c r="R402" s="19"/>
      <c r="S402" s="19"/>
      <c r="T402" s="19"/>
      <c r="U402" s="15"/>
      <c r="V402" s="15"/>
      <c r="W402" s="32"/>
      <c r="X402" s="32"/>
      <c r="Y402" s="32"/>
      <c r="Z402" s="32"/>
      <c r="AA402" s="19"/>
      <c r="AB402" s="32"/>
      <c r="AC402" s="32"/>
      <c r="AD402" s="32"/>
      <c r="AE402" s="32"/>
      <c r="AF402" s="32"/>
      <c r="AG402" s="15"/>
      <c r="AH402" s="15"/>
      <c r="AI402" s="32"/>
      <c r="AJ402" s="32"/>
      <c r="AK402" s="20"/>
      <c r="AL402" s="20"/>
      <c r="AM402" s="20"/>
      <c r="AN402" s="20"/>
      <c r="AO402" s="20"/>
      <c r="AP402" s="7"/>
      <c r="AQ402" s="48"/>
      <c r="AR402" s="48"/>
    </row>
    <row r="403" spans="1:44" x14ac:dyDescent="0.3">
      <c r="A403" s="45"/>
      <c r="B403" s="46"/>
      <c r="C403" s="7"/>
      <c r="D403" s="7"/>
      <c r="E403" s="7"/>
      <c r="F403" s="47"/>
      <c r="G403" s="47"/>
      <c r="H403" s="7"/>
      <c r="I403" s="15"/>
      <c r="J403" s="20"/>
      <c r="K403" s="7"/>
      <c r="L403" s="15"/>
      <c r="M403" s="15"/>
      <c r="N403" s="20"/>
      <c r="O403" s="20"/>
      <c r="P403" s="32"/>
      <c r="Q403" s="19"/>
      <c r="R403" s="19"/>
      <c r="S403" s="19"/>
      <c r="T403" s="19"/>
      <c r="U403" s="15"/>
      <c r="V403" s="15"/>
      <c r="W403" s="32"/>
      <c r="X403" s="32"/>
      <c r="Y403" s="32"/>
      <c r="Z403" s="32"/>
      <c r="AA403" s="19"/>
      <c r="AB403" s="32"/>
      <c r="AC403" s="32"/>
      <c r="AD403" s="32"/>
      <c r="AE403" s="32"/>
      <c r="AF403" s="32"/>
      <c r="AG403" s="15"/>
      <c r="AH403" s="15"/>
      <c r="AI403" s="32"/>
      <c r="AJ403" s="32"/>
      <c r="AK403" s="20"/>
      <c r="AL403" s="20"/>
      <c r="AM403" s="20"/>
      <c r="AN403" s="20"/>
      <c r="AO403" s="20"/>
      <c r="AP403" s="7"/>
      <c r="AQ403" s="48"/>
      <c r="AR403" s="48"/>
    </row>
    <row r="404" spans="1:44" x14ac:dyDescent="0.3">
      <c r="A404" s="45"/>
      <c r="B404" s="46"/>
      <c r="C404" s="7"/>
      <c r="D404" s="7"/>
      <c r="E404" s="7"/>
      <c r="F404" s="47"/>
      <c r="G404" s="47"/>
      <c r="H404" s="7"/>
      <c r="I404" s="15"/>
      <c r="J404" s="20"/>
      <c r="K404" s="7"/>
      <c r="L404" s="15"/>
      <c r="M404" s="15"/>
      <c r="N404" s="20"/>
      <c r="O404" s="20"/>
      <c r="P404" s="32"/>
      <c r="Q404" s="19"/>
      <c r="R404" s="19"/>
      <c r="S404" s="19"/>
      <c r="T404" s="19"/>
      <c r="U404" s="15"/>
      <c r="V404" s="15"/>
      <c r="W404" s="32"/>
      <c r="X404" s="32"/>
      <c r="Y404" s="32"/>
      <c r="Z404" s="32"/>
      <c r="AA404" s="19"/>
      <c r="AB404" s="32"/>
      <c r="AC404" s="32"/>
      <c r="AD404" s="32"/>
      <c r="AE404" s="32"/>
      <c r="AF404" s="32"/>
      <c r="AG404" s="15"/>
      <c r="AH404" s="15"/>
      <c r="AI404" s="32"/>
      <c r="AJ404" s="32"/>
      <c r="AK404" s="20"/>
      <c r="AL404" s="20"/>
      <c r="AM404" s="20"/>
      <c r="AN404" s="20"/>
      <c r="AO404" s="20"/>
      <c r="AP404" s="7"/>
      <c r="AQ404" s="48"/>
      <c r="AR404" s="48"/>
    </row>
    <row r="405" spans="1:44" x14ac:dyDescent="0.3">
      <c r="A405" s="45"/>
      <c r="B405" s="46"/>
      <c r="C405" s="7"/>
      <c r="D405" s="7"/>
      <c r="E405" s="7"/>
      <c r="F405" s="47"/>
      <c r="G405" s="47"/>
      <c r="H405" s="7"/>
      <c r="I405" s="15"/>
      <c r="J405" s="20"/>
      <c r="K405" s="7"/>
      <c r="L405" s="15"/>
      <c r="M405" s="15"/>
      <c r="N405" s="20"/>
      <c r="O405" s="20"/>
      <c r="P405" s="32"/>
      <c r="Q405" s="19"/>
      <c r="R405" s="19"/>
      <c r="S405" s="19"/>
      <c r="T405" s="19"/>
      <c r="U405" s="15"/>
      <c r="V405" s="15"/>
      <c r="W405" s="32"/>
      <c r="X405" s="32"/>
      <c r="Y405" s="32"/>
      <c r="Z405" s="32"/>
      <c r="AA405" s="19"/>
      <c r="AB405" s="32"/>
      <c r="AC405" s="32"/>
      <c r="AD405" s="32"/>
      <c r="AE405" s="32"/>
      <c r="AF405" s="32"/>
      <c r="AG405" s="15"/>
      <c r="AH405" s="15"/>
      <c r="AI405" s="32"/>
      <c r="AJ405" s="32"/>
      <c r="AK405" s="20"/>
      <c r="AL405" s="20"/>
      <c r="AM405" s="20"/>
      <c r="AN405" s="20"/>
      <c r="AO405" s="20"/>
      <c r="AP405" s="7"/>
      <c r="AQ405" s="48"/>
      <c r="AR405" s="48"/>
    </row>
    <row r="406" spans="1:44" x14ac:dyDescent="0.3">
      <c r="A406" s="45"/>
      <c r="B406" s="46"/>
      <c r="C406" s="7"/>
      <c r="D406" s="7"/>
      <c r="E406" s="7"/>
      <c r="F406" s="47"/>
      <c r="G406" s="47"/>
      <c r="H406" s="7"/>
      <c r="I406" s="15"/>
      <c r="J406" s="20"/>
      <c r="K406" s="7"/>
      <c r="L406" s="15"/>
      <c r="M406" s="15"/>
      <c r="N406" s="20"/>
      <c r="O406" s="20"/>
      <c r="P406" s="32"/>
      <c r="Q406" s="19"/>
      <c r="R406" s="19"/>
      <c r="S406" s="19"/>
      <c r="T406" s="19"/>
      <c r="U406" s="15"/>
      <c r="V406" s="15"/>
      <c r="W406" s="32"/>
      <c r="X406" s="32"/>
      <c r="Y406" s="32"/>
      <c r="Z406" s="32"/>
      <c r="AA406" s="19"/>
      <c r="AB406" s="32"/>
      <c r="AC406" s="32"/>
      <c r="AD406" s="32"/>
      <c r="AE406" s="32"/>
      <c r="AF406" s="32"/>
      <c r="AG406" s="15"/>
      <c r="AH406" s="15"/>
      <c r="AI406" s="32"/>
      <c r="AJ406" s="32"/>
      <c r="AK406" s="20"/>
      <c r="AL406" s="20"/>
      <c r="AM406" s="20"/>
      <c r="AN406" s="20"/>
      <c r="AO406" s="20"/>
      <c r="AP406" s="7"/>
      <c r="AQ406" s="48"/>
      <c r="AR406" s="48"/>
    </row>
    <row r="407" spans="1:44" x14ac:dyDescent="0.3">
      <c r="A407" s="45"/>
      <c r="B407" s="46"/>
      <c r="C407" s="7"/>
      <c r="D407" s="7"/>
      <c r="E407" s="7"/>
      <c r="F407" s="47"/>
      <c r="G407" s="47"/>
      <c r="H407" s="7"/>
      <c r="I407" s="15"/>
      <c r="J407" s="20"/>
      <c r="K407" s="7"/>
      <c r="L407" s="15"/>
      <c r="M407" s="15"/>
      <c r="N407" s="20"/>
      <c r="O407" s="20"/>
      <c r="P407" s="32"/>
      <c r="Q407" s="19"/>
      <c r="R407" s="19"/>
      <c r="S407" s="19"/>
      <c r="T407" s="19"/>
      <c r="U407" s="15"/>
      <c r="V407" s="15"/>
      <c r="W407" s="32"/>
      <c r="X407" s="32"/>
      <c r="Y407" s="32"/>
      <c r="Z407" s="32"/>
      <c r="AA407" s="19"/>
      <c r="AB407" s="32"/>
      <c r="AC407" s="32"/>
      <c r="AD407" s="32"/>
      <c r="AE407" s="32"/>
      <c r="AF407" s="32"/>
      <c r="AG407" s="15"/>
      <c r="AH407" s="15"/>
      <c r="AI407" s="32"/>
      <c r="AJ407" s="32"/>
      <c r="AK407" s="20"/>
      <c r="AL407" s="20"/>
      <c r="AM407" s="20"/>
      <c r="AN407" s="20"/>
      <c r="AO407" s="20"/>
      <c r="AP407" s="7"/>
      <c r="AQ407" s="48"/>
      <c r="AR407" s="48"/>
    </row>
    <row r="408" spans="1:44" x14ac:dyDescent="0.3">
      <c r="A408" s="45"/>
      <c r="B408" s="46"/>
      <c r="C408" s="7"/>
      <c r="D408" s="7"/>
      <c r="E408" s="7"/>
      <c r="F408" s="7"/>
      <c r="G408" s="7"/>
      <c r="H408" s="7"/>
      <c r="I408" s="15"/>
      <c r="J408" s="20"/>
      <c r="K408" s="20"/>
      <c r="L408" s="50"/>
      <c r="M408" s="20"/>
      <c r="N408" s="20"/>
      <c r="O408" s="20"/>
      <c r="P408" s="20"/>
      <c r="Q408" s="20"/>
      <c r="R408" s="20"/>
      <c r="S408" s="20"/>
      <c r="T408" s="20"/>
      <c r="U408" s="20"/>
      <c r="V408" s="20"/>
      <c r="W408" s="30"/>
      <c r="X408" s="30"/>
      <c r="Y408" s="30"/>
      <c r="Z408" s="30"/>
      <c r="AA408" s="20"/>
      <c r="AB408" s="32"/>
      <c r="AC408" s="32"/>
      <c r="AD408" s="32"/>
      <c r="AE408" s="32"/>
      <c r="AF408" s="32"/>
      <c r="AG408" s="15"/>
      <c r="AH408" s="15"/>
      <c r="AI408" s="32"/>
      <c r="AJ408" s="32"/>
      <c r="AK408" s="20"/>
      <c r="AL408" s="20"/>
      <c r="AM408" s="20"/>
      <c r="AN408" s="20"/>
      <c r="AO408" s="20"/>
      <c r="AP408" s="7"/>
      <c r="AQ408" s="7"/>
      <c r="AR408" s="7"/>
    </row>
    <row r="409" spans="1:44" x14ac:dyDescent="0.3">
      <c r="F409" s="11"/>
      <c r="G409" s="11"/>
      <c r="AC409" s="8"/>
      <c r="AD409" s="8"/>
      <c r="AQ409" s="13"/>
      <c r="AR409" s="13"/>
    </row>
    <row r="410" spans="1:44" x14ac:dyDescent="0.3">
      <c r="F410" s="11"/>
      <c r="G410" s="11"/>
      <c r="AC410" s="8"/>
      <c r="AD410" s="8"/>
      <c r="AQ410" s="13"/>
      <c r="AR410" s="13"/>
    </row>
    <row r="411" spans="1:44" x14ac:dyDescent="0.3">
      <c r="F411" s="11"/>
      <c r="G411" s="11"/>
      <c r="AC411" s="8"/>
      <c r="AD411" s="8"/>
      <c r="AQ411" s="13"/>
      <c r="AR411" s="13"/>
    </row>
    <row r="412" spans="1:44" x14ac:dyDescent="0.3">
      <c r="F412" s="11"/>
      <c r="G412" s="11"/>
      <c r="J412" s="9"/>
      <c r="AC412" s="8"/>
      <c r="AD412" s="8"/>
      <c r="AQ412" s="13"/>
      <c r="AR412" s="13"/>
    </row>
    <row r="413" spans="1:44" x14ac:dyDescent="0.3">
      <c r="F413" s="11"/>
      <c r="G413" s="11"/>
      <c r="J413" s="9"/>
      <c r="AC413" s="8"/>
      <c r="AD413" s="8"/>
      <c r="AQ413" s="13"/>
      <c r="AR413" s="13"/>
    </row>
    <row r="414" spans="1:44" x14ac:dyDescent="0.3">
      <c r="F414" s="11"/>
      <c r="G414" s="11"/>
      <c r="J414" s="9"/>
      <c r="AC414" s="8"/>
      <c r="AD414" s="8"/>
      <c r="AQ414" s="13"/>
      <c r="AR414" s="13"/>
    </row>
    <row r="415" spans="1:44" x14ac:dyDescent="0.3">
      <c r="F415" s="56"/>
      <c r="G415" s="56"/>
      <c r="J415" s="9"/>
      <c r="AC415" s="8"/>
      <c r="AD415" s="8"/>
      <c r="AQ415" s="13"/>
      <c r="AR415" s="13"/>
    </row>
    <row r="416" spans="1:44" x14ac:dyDescent="0.3">
      <c r="F416" s="11"/>
      <c r="G416" s="11"/>
      <c r="J416" s="9"/>
      <c r="AC416" s="8"/>
      <c r="AD416" s="8"/>
      <c r="AQ416" s="13"/>
      <c r="AR416" s="13"/>
    </row>
    <row r="417" spans="1:44" x14ac:dyDescent="0.3">
      <c r="F417" s="56"/>
      <c r="G417" s="56"/>
      <c r="J417" s="9"/>
      <c r="AC417" s="8"/>
      <c r="AD417" s="8"/>
      <c r="AQ417" s="13"/>
      <c r="AR417" s="13"/>
    </row>
    <row r="418" spans="1:44" x14ac:dyDescent="0.3">
      <c r="F418" s="11"/>
      <c r="G418" s="11"/>
      <c r="J418" s="9"/>
      <c r="AC418" s="8"/>
      <c r="AD418" s="8"/>
      <c r="AQ418" s="13"/>
      <c r="AR418" s="13"/>
    </row>
    <row r="419" spans="1:44" x14ac:dyDescent="0.3">
      <c r="F419" s="11"/>
      <c r="G419" s="11"/>
      <c r="J419" s="14"/>
      <c r="AC419" s="8"/>
      <c r="AD419" s="8"/>
      <c r="AQ419" s="13"/>
      <c r="AR419" s="13"/>
    </row>
    <row r="420" spans="1:44" x14ac:dyDescent="0.3">
      <c r="F420" s="11"/>
      <c r="G420" s="11"/>
      <c r="AC420" s="8"/>
      <c r="AD420" s="8"/>
      <c r="AQ420" s="13"/>
      <c r="AR420" s="13"/>
    </row>
    <row r="421" spans="1:44" x14ac:dyDescent="0.3">
      <c r="F421" s="11"/>
      <c r="G421" s="11"/>
      <c r="AC421" s="8"/>
      <c r="AD421" s="8"/>
      <c r="AQ421" s="13"/>
      <c r="AR421" s="13"/>
    </row>
    <row r="422" spans="1:44" x14ac:dyDescent="0.3">
      <c r="F422" s="11"/>
      <c r="G422" s="11"/>
      <c r="AC422" s="8"/>
      <c r="AD422" s="8"/>
      <c r="AQ422" s="13"/>
      <c r="AR422" s="13"/>
    </row>
    <row r="423" spans="1:44" x14ac:dyDescent="0.3">
      <c r="F423" s="11"/>
      <c r="G423" s="11"/>
      <c r="AC423" s="8"/>
      <c r="AD423" s="8"/>
      <c r="AQ423" s="13"/>
      <c r="AR423" s="13"/>
    </row>
    <row r="424" spans="1:44" x14ac:dyDescent="0.3">
      <c r="F424" s="11"/>
      <c r="G424" s="11"/>
      <c r="AC424" s="8"/>
      <c r="AD424" s="8"/>
      <c r="AQ424" s="13"/>
      <c r="AR424" s="13"/>
    </row>
    <row r="425" spans="1:44" x14ac:dyDescent="0.3">
      <c r="F425" s="11"/>
      <c r="G425" s="11"/>
      <c r="AC425" s="8"/>
      <c r="AD425" s="8"/>
      <c r="AQ425" s="13"/>
      <c r="AR425" s="13"/>
    </row>
    <row r="426" spans="1:44" x14ac:dyDescent="0.3">
      <c r="F426" s="11"/>
      <c r="G426" s="11"/>
      <c r="AC426" s="8"/>
      <c r="AD426" s="8"/>
      <c r="AQ426" s="13"/>
      <c r="AR426" s="13"/>
    </row>
    <row r="427" spans="1:44" x14ac:dyDescent="0.3">
      <c r="F427" s="11"/>
      <c r="G427" s="11"/>
      <c r="AC427" s="8"/>
      <c r="AD427" s="8"/>
      <c r="AQ427" s="13"/>
      <c r="AR427" s="13"/>
    </row>
    <row r="428" spans="1:44" x14ac:dyDescent="0.3">
      <c r="F428" s="11"/>
      <c r="G428" s="11"/>
      <c r="AC428" s="8"/>
      <c r="AD428" s="8"/>
      <c r="AQ428" s="13"/>
      <c r="AR428" s="13"/>
    </row>
    <row r="429" spans="1:44" x14ac:dyDescent="0.3">
      <c r="F429" s="11"/>
      <c r="G429" s="11"/>
      <c r="AQ429" s="13"/>
      <c r="AR429" s="13"/>
    </row>
    <row r="430" spans="1:44" s="7" customFormat="1" x14ac:dyDescent="0.3">
      <c r="A430" s="5"/>
      <c r="B430" s="12"/>
      <c r="C430"/>
      <c r="D430"/>
      <c r="E430"/>
      <c r="F430" s="11"/>
      <c r="G430" s="11"/>
      <c r="H430"/>
      <c r="I430" s="2"/>
      <c r="J430" s="1"/>
      <c r="K430"/>
      <c r="L430" s="2"/>
      <c r="M430" s="2"/>
      <c r="N430" s="1"/>
      <c r="O430" s="1"/>
      <c r="P430" s="3"/>
      <c r="Q430" s="4"/>
      <c r="R430" s="4"/>
      <c r="S430" s="4"/>
      <c r="T430" s="4"/>
      <c r="U430" s="2"/>
      <c r="V430" s="2"/>
      <c r="W430" s="3"/>
      <c r="X430" s="3"/>
      <c r="Y430" s="3"/>
      <c r="Z430" s="3"/>
      <c r="AA430" s="4"/>
      <c r="AB430" s="3"/>
      <c r="AC430" s="8"/>
      <c r="AD430" s="8"/>
      <c r="AE430" s="3"/>
      <c r="AF430" s="3"/>
      <c r="AG430" s="2"/>
      <c r="AH430" s="2"/>
      <c r="AI430" s="3"/>
      <c r="AJ430" s="3"/>
      <c r="AK430" s="1"/>
      <c r="AL430" s="1"/>
      <c r="AM430" s="1"/>
      <c r="AN430" s="1"/>
      <c r="AO430" s="1"/>
      <c r="AP430"/>
      <c r="AQ430" s="13"/>
      <c r="AR430" s="13"/>
    </row>
    <row r="431" spans="1:44" x14ac:dyDescent="0.3">
      <c r="F431" s="11"/>
      <c r="G431" s="11"/>
      <c r="AC431" s="8"/>
      <c r="AD431" s="8"/>
      <c r="AQ431" s="13"/>
      <c r="AR431" s="13"/>
    </row>
    <row r="432" spans="1:44" x14ac:dyDescent="0.3">
      <c r="F432" s="11"/>
      <c r="G432" s="11"/>
      <c r="AC432" s="8"/>
      <c r="AD432" s="8"/>
      <c r="AQ432" s="13"/>
      <c r="AR432" s="13"/>
    </row>
    <row r="433" spans="1:44" x14ac:dyDescent="0.3">
      <c r="F433" s="11"/>
      <c r="G433" s="11"/>
      <c r="AC433" s="8"/>
      <c r="AD433" s="8"/>
      <c r="AQ433" s="13"/>
      <c r="AR433" s="13"/>
    </row>
    <row r="435" spans="1:44" x14ac:dyDescent="0.3">
      <c r="F435" s="11"/>
      <c r="G435" s="11"/>
      <c r="AC435" s="8"/>
      <c r="AD435" s="8"/>
      <c r="AQ435" s="13"/>
      <c r="AR435" s="13"/>
    </row>
    <row r="436" spans="1:44" x14ac:dyDescent="0.3">
      <c r="F436" s="11"/>
      <c r="G436" s="11"/>
      <c r="AC436" s="8"/>
      <c r="AD436" s="8"/>
      <c r="AQ436" s="13"/>
      <c r="AR436" s="13"/>
    </row>
    <row r="437" spans="1:44" x14ac:dyDescent="0.3">
      <c r="F437" s="11"/>
      <c r="G437" s="11"/>
      <c r="AC437" s="8"/>
      <c r="AD437" s="8"/>
      <c r="AQ437" s="13"/>
      <c r="AR437" s="13"/>
    </row>
    <row r="438" spans="1:44" x14ac:dyDescent="0.3">
      <c r="F438" s="11"/>
      <c r="G438" s="11"/>
      <c r="AC438" s="8"/>
      <c r="AD438" s="8"/>
      <c r="AQ438" s="13"/>
      <c r="AR438" s="13"/>
    </row>
    <row r="439" spans="1:44" x14ac:dyDescent="0.3">
      <c r="F439" s="11"/>
      <c r="G439" s="11"/>
      <c r="AC439" s="8"/>
      <c r="AD439" s="8"/>
      <c r="AQ439" s="13"/>
      <c r="AR439" s="13"/>
    </row>
    <row r="440" spans="1:44" x14ac:dyDescent="0.3">
      <c r="F440" s="11"/>
      <c r="G440" s="11"/>
      <c r="AC440" s="8"/>
      <c r="AD440" s="8"/>
      <c r="AQ440" s="13"/>
      <c r="AR440" s="13"/>
    </row>
    <row r="441" spans="1:44" x14ac:dyDescent="0.3">
      <c r="F441" s="11"/>
      <c r="G441" s="11"/>
      <c r="AC441" s="8"/>
      <c r="AD441" s="8"/>
      <c r="AQ441" s="13"/>
      <c r="AR441" s="13"/>
    </row>
    <row r="442" spans="1:44" x14ac:dyDescent="0.3">
      <c r="A442"/>
      <c r="B442" s="5"/>
      <c r="C442" s="12"/>
      <c r="G442" s="11"/>
      <c r="H442" s="11"/>
      <c r="I442"/>
      <c r="J442" s="2"/>
      <c r="K442" s="1"/>
      <c r="L442"/>
      <c r="N442" s="2"/>
      <c r="P442" s="1"/>
      <c r="Q442" s="3"/>
      <c r="U442" s="4"/>
      <c r="AA442" s="3"/>
      <c r="AB442" s="4"/>
      <c r="AD442" s="8"/>
      <c r="AE442" s="8"/>
      <c r="AG442" s="3"/>
      <c r="AI442" s="2"/>
      <c r="AK442" s="3"/>
      <c r="AP442" s="1"/>
      <c r="AR442" s="13"/>
    </row>
    <row r="443" spans="1:44" x14ac:dyDescent="0.3">
      <c r="F443" s="11"/>
      <c r="G443" s="11"/>
      <c r="AQ443" s="13"/>
      <c r="AR443" s="13"/>
    </row>
    <row r="444" spans="1:44" x14ac:dyDescent="0.3">
      <c r="F444" s="11"/>
      <c r="G444" s="11"/>
      <c r="AC444" s="8"/>
      <c r="AD444" s="8"/>
      <c r="AQ444" s="13"/>
      <c r="AR444" s="13"/>
    </row>
    <row r="445" spans="1:44" x14ac:dyDescent="0.3">
      <c r="F445" s="11"/>
      <c r="G445" s="11"/>
      <c r="AC445" s="8"/>
      <c r="AD445" s="8"/>
      <c r="AQ445" s="13"/>
      <c r="AR445" s="13"/>
    </row>
    <row r="446" spans="1:44" x14ac:dyDescent="0.3">
      <c r="R446" s="40"/>
      <c r="S446" s="6"/>
      <c r="U446" s="6"/>
      <c r="V446" s="6"/>
      <c r="W446" s="8"/>
      <c r="X446" s="8"/>
      <c r="Y446" s="8"/>
      <c r="Z446" s="8"/>
      <c r="AA446" s="40"/>
      <c r="AB446" s="8"/>
      <c r="AC446" s="6"/>
      <c r="AD446" s="6"/>
      <c r="AE446" s="6"/>
      <c r="AF446" s="6"/>
      <c r="AG446" s="6"/>
      <c r="AH446" s="41"/>
      <c r="AI446" s="6"/>
    </row>
    <row r="450" spans="1:44" x14ac:dyDescent="0.3">
      <c r="F450" s="11"/>
      <c r="G450" s="11"/>
      <c r="AC450" s="8"/>
      <c r="AD450" s="8"/>
    </row>
    <row r="451" spans="1:44" x14ac:dyDescent="0.3">
      <c r="R451" s="6"/>
      <c r="S451" s="40"/>
      <c r="U451" s="6"/>
      <c r="V451" s="6"/>
      <c r="W451" s="8"/>
      <c r="X451" s="8"/>
      <c r="Y451" s="8"/>
      <c r="Z451" s="8"/>
      <c r="AA451" s="6"/>
      <c r="AB451" s="6"/>
      <c r="AC451" s="6"/>
      <c r="AD451" s="8"/>
      <c r="AE451" s="8"/>
      <c r="AF451" s="6"/>
      <c r="AG451" s="6"/>
      <c r="AH451" s="41"/>
      <c r="AI451" s="6"/>
    </row>
    <row r="455" spans="1:44" x14ac:dyDescent="0.3">
      <c r="F455" s="11"/>
      <c r="G455" s="11"/>
      <c r="AC455" s="8"/>
      <c r="AD455" s="8"/>
      <c r="AQ455" s="13"/>
      <c r="AR455" s="13"/>
    </row>
    <row r="456" spans="1:44" s="26" customFormat="1" x14ac:dyDescent="0.3">
      <c r="A456" s="5"/>
      <c r="B456" s="12"/>
      <c r="C456"/>
      <c r="D456"/>
      <c r="E456"/>
      <c r="F456" s="11"/>
      <c r="G456" s="11"/>
      <c r="H456"/>
      <c r="I456" s="2"/>
      <c r="J456" s="1"/>
      <c r="K456"/>
      <c r="L456" s="2"/>
      <c r="M456" s="2"/>
      <c r="N456" s="1"/>
      <c r="O456" s="1"/>
      <c r="P456" s="3"/>
      <c r="Q456" s="4"/>
      <c r="R456" s="4"/>
      <c r="S456" s="4"/>
      <c r="T456" s="4"/>
      <c r="U456" s="2"/>
      <c r="V456" s="2"/>
      <c r="W456" s="3"/>
      <c r="X456" s="3"/>
      <c r="Y456" s="3"/>
      <c r="Z456" s="3"/>
      <c r="AA456" s="4"/>
      <c r="AB456" s="3"/>
      <c r="AC456" s="8"/>
      <c r="AD456" s="8"/>
      <c r="AE456" s="3"/>
      <c r="AF456" s="3"/>
      <c r="AG456" s="2"/>
      <c r="AH456" s="2"/>
      <c r="AI456" s="3"/>
      <c r="AJ456" s="3"/>
      <c r="AK456" s="1"/>
      <c r="AL456" s="1"/>
      <c r="AM456" s="1"/>
      <c r="AN456" s="1"/>
      <c r="AO456" s="1"/>
      <c r="AP456"/>
      <c r="AQ456" s="13"/>
      <c r="AR456" s="13"/>
    </row>
    <row r="457" spans="1:44" x14ac:dyDescent="0.3">
      <c r="AC457" s="8"/>
      <c r="AD457" s="8"/>
      <c r="AQ457" s="13"/>
      <c r="AR457" s="13"/>
    </row>
    <row r="458" spans="1:44" x14ac:dyDescent="0.3">
      <c r="AC458" s="8"/>
      <c r="AD458" s="8"/>
      <c r="AQ458" s="13"/>
      <c r="AR458" s="13"/>
    </row>
    <row r="459" spans="1:44" x14ac:dyDescent="0.3">
      <c r="AC459" s="8"/>
      <c r="AD459" s="8"/>
      <c r="AQ459" s="13"/>
      <c r="AR459" s="13"/>
    </row>
    <row r="460" spans="1:44" x14ac:dyDescent="0.3">
      <c r="F460" s="11"/>
      <c r="G460" s="11"/>
      <c r="AC460" s="8"/>
      <c r="AD460" s="8"/>
    </row>
    <row r="461" spans="1:44" x14ac:dyDescent="0.3">
      <c r="F461" s="11"/>
      <c r="G461" s="11"/>
      <c r="AC461" s="8"/>
      <c r="AD461" s="8"/>
    </row>
    <row r="463" spans="1:44" x14ac:dyDescent="0.3">
      <c r="F463" s="11"/>
      <c r="G463" s="11"/>
      <c r="AC463" s="8"/>
      <c r="AD463" s="8"/>
      <c r="AQ463" s="13"/>
      <c r="AR463" s="13"/>
    </row>
    <row r="464" spans="1:44" x14ac:dyDescent="0.3">
      <c r="F464" s="11"/>
      <c r="G464" s="11"/>
      <c r="X464" s="22"/>
      <c r="AC464" s="8"/>
      <c r="AD464" s="8"/>
      <c r="AQ464" s="13"/>
      <c r="AR464" s="13"/>
    </row>
    <row r="465" spans="5:44" x14ac:dyDescent="0.3">
      <c r="T465" s="18"/>
      <c r="X465" s="22"/>
    </row>
    <row r="466" spans="5:44" x14ac:dyDescent="0.3">
      <c r="F466" s="11"/>
      <c r="G466" s="11"/>
      <c r="AC466" s="8"/>
      <c r="AD466" s="8"/>
      <c r="AQ466" s="13"/>
      <c r="AR466" s="13"/>
    </row>
    <row r="467" spans="5:44" x14ac:dyDescent="0.3">
      <c r="F467" s="11"/>
      <c r="G467" s="11"/>
      <c r="AC467" s="8"/>
      <c r="AD467" s="8"/>
      <c r="AQ467" s="13"/>
      <c r="AR467" s="13"/>
    </row>
    <row r="468" spans="5:44" x14ac:dyDescent="0.3">
      <c r="F468" s="11"/>
      <c r="G468" s="11"/>
    </row>
    <row r="469" spans="5:44" x14ac:dyDescent="0.3">
      <c r="E469" s="16"/>
      <c r="F469" s="11"/>
      <c r="G469" s="11"/>
    </row>
    <row r="470" spans="5:44" x14ac:dyDescent="0.3">
      <c r="F470" s="11"/>
      <c r="G470" s="11"/>
      <c r="J470" s="14"/>
      <c r="AC470" s="8"/>
      <c r="AD470" s="8"/>
      <c r="AQ470" s="13"/>
      <c r="AR470" s="13"/>
    </row>
    <row r="471" spans="5:44" x14ac:dyDescent="0.3">
      <c r="F471" s="11"/>
      <c r="G471" s="11"/>
      <c r="J471" s="14"/>
      <c r="AC471" s="8"/>
      <c r="AD471" s="8"/>
      <c r="AQ471" s="13"/>
      <c r="AR471" s="13"/>
    </row>
    <row r="473" spans="5:44" x14ac:dyDescent="0.3">
      <c r="F473" s="11"/>
      <c r="G473" s="11"/>
      <c r="J473" s="14"/>
      <c r="AC473" s="8"/>
      <c r="AD473" s="8"/>
      <c r="AQ473" s="13"/>
      <c r="AR473" s="13"/>
    </row>
    <row r="474" spans="5:44" x14ac:dyDescent="0.3">
      <c r="F474" s="11"/>
      <c r="G474" s="11"/>
      <c r="J474" s="14"/>
      <c r="AC474" s="8"/>
      <c r="AD474" s="8"/>
      <c r="AQ474" s="13"/>
      <c r="AR474" s="13"/>
    </row>
    <row r="476" spans="5:44" x14ac:dyDescent="0.3">
      <c r="F476" s="11"/>
      <c r="G476" s="11"/>
      <c r="AC476" s="8"/>
      <c r="AD476" s="8"/>
      <c r="AQ476" s="13"/>
      <c r="AR476" s="13"/>
    </row>
    <row r="477" spans="5:44" x14ac:dyDescent="0.3">
      <c r="F477" s="11"/>
      <c r="G477" s="11"/>
      <c r="R477" s="40"/>
      <c r="S477" s="40"/>
      <c r="U477" s="6"/>
      <c r="V477" s="6"/>
      <c r="W477" s="8"/>
      <c r="X477" s="8"/>
      <c r="Y477" s="8"/>
      <c r="Z477" s="8"/>
      <c r="AA477" s="6"/>
      <c r="AB477" s="6"/>
      <c r="AC477" s="8"/>
      <c r="AD477" s="8"/>
      <c r="AE477" s="8"/>
      <c r="AF477" s="8"/>
      <c r="AG477" s="6"/>
      <c r="AH477" s="41"/>
      <c r="AI477" s="6"/>
    </row>
    <row r="479" spans="5:44" x14ac:dyDescent="0.3">
      <c r="F479" s="11"/>
      <c r="G479" s="11"/>
      <c r="R479" s="40"/>
      <c r="S479" s="40"/>
      <c r="U479" s="6"/>
      <c r="V479" s="6"/>
      <c r="W479" s="8"/>
      <c r="X479" s="8"/>
      <c r="Y479" s="8"/>
      <c r="Z479" s="8"/>
      <c r="AA479" s="6"/>
      <c r="AB479" s="6"/>
      <c r="AC479" s="6"/>
      <c r="AD479" s="8"/>
      <c r="AE479" s="6"/>
      <c r="AF479" s="8"/>
      <c r="AG479" s="6"/>
      <c r="AH479" s="41"/>
      <c r="AI479" s="6"/>
    </row>
    <row r="481" spans="6:44" x14ac:dyDescent="0.3">
      <c r="F481" s="11"/>
      <c r="G481" s="11"/>
      <c r="R481" s="40"/>
      <c r="S481" s="40"/>
      <c r="U481" s="6"/>
      <c r="V481" s="6"/>
      <c r="W481" s="8"/>
      <c r="X481" s="8"/>
      <c r="Y481" s="8"/>
      <c r="Z481" s="8"/>
      <c r="AA481" s="6"/>
      <c r="AB481" s="6"/>
      <c r="AC481" s="6"/>
      <c r="AD481" s="8"/>
      <c r="AE481" s="8"/>
      <c r="AF481" s="8"/>
      <c r="AG481" s="6"/>
      <c r="AH481" s="41"/>
      <c r="AI481" s="6"/>
      <c r="AQ481" s="13"/>
      <c r="AR481" s="13"/>
    </row>
    <row r="482" spans="6:44" x14ac:dyDescent="0.3">
      <c r="F482" s="11"/>
      <c r="G482" s="11"/>
      <c r="AC482" s="8"/>
      <c r="AD482" s="8"/>
    </row>
    <row r="483" spans="6:44" x14ac:dyDescent="0.3">
      <c r="R483" s="6"/>
      <c r="S483" s="40"/>
      <c r="U483" s="6"/>
      <c r="V483" s="6"/>
      <c r="W483" s="8"/>
      <c r="X483" s="8"/>
      <c r="Y483" s="8"/>
      <c r="Z483" s="8"/>
      <c r="AA483" s="6"/>
      <c r="AB483" s="6"/>
      <c r="AC483" s="6"/>
      <c r="AD483" s="8"/>
      <c r="AE483" s="8"/>
      <c r="AF483" s="6"/>
      <c r="AG483" s="6"/>
      <c r="AH483" s="41"/>
      <c r="AI483" s="6"/>
    </row>
    <row r="484" spans="6:44" x14ac:dyDescent="0.3">
      <c r="F484" s="11"/>
      <c r="G484" s="11"/>
      <c r="AC484" s="8"/>
      <c r="AD484" s="8"/>
      <c r="AQ484" s="13"/>
      <c r="AR484" s="13"/>
    </row>
    <row r="485" spans="6:44" x14ac:dyDescent="0.3">
      <c r="F485" s="11"/>
      <c r="G485" s="11"/>
      <c r="AC485" s="8"/>
      <c r="AD485" s="8"/>
    </row>
    <row r="487" spans="6:44" x14ac:dyDescent="0.3">
      <c r="F487" s="11"/>
      <c r="G487" s="11"/>
      <c r="AC487" s="8"/>
      <c r="AD487" s="8"/>
      <c r="AQ487" s="13"/>
      <c r="AR487" s="13"/>
    </row>
    <row r="488" spans="6:44" x14ac:dyDescent="0.3">
      <c r="F488" s="11"/>
      <c r="G488" s="11"/>
      <c r="AC488" s="8"/>
      <c r="AD488" s="8"/>
    </row>
    <row r="490" spans="6:44" x14ac:dyDescent="0.3">
      <c r="F490" s="11"/>
      <c r="G490" s="11"/>
      <c r="AC490" s="8"/>
      <c r="AD490" s="8"/>
      <c r="AQ490" s="13"/>
      <c r="AR490" s="13"/>
    </row>
    <row r="491" spans="6:44" x14ac:dyDescent="0.3">
      <c r="F491" s="11"/>
      <c r="G491" s="11"/>
      <c r="AC491" s="8"/>
      <c r="AD491" s="8"/>
    </row>
    <row r="493" spans="6:44" x14ac:dyDescent="0.3">
      <c r="F493" s="11"/>
      <c r="G493" s="11"/>
      <c r="AC493" s="8"/>
      <c r="AD493" s="8"/>
      <c r="AQ493" s="13"/>
      <c r="AR493" s="13"/>
    </row>
    <row r="494" spans="6:44" x14ac:dyDescent="0.3">
      <c r="F494" s="11"/>
      <c r="G494" s="11"/>
      <c r="AC494" s="8"/>
      <c r="AD494" s="8"/>
    </row>
    <row r="496" spans="6:44" x14ac:dyDescent="0.3">
      <c r="F496" s="11"/>
      <c r="G496" s="11"/>
      <c r="AC496" s="8"/>
      <c r="AD496" s="8"/>
      <c r="AQ496" s="13"/>
      <c r="AR496" s="13"/>
    </row>
    <row r="497" spans="6:44" x14ac:dyDescent="0.3">
      <c r="F497" s="11"/>
      <c r="G497" s="11"/>
      <c r="AC497" s="8"/>
      <c r="AD497" s="8"/>
    </row>
    <row r="499" spans="6:44" x14ac:dyDescent="0.3">
      <c r="F499" s="11"/>
      <c r="G499" s="11"/>
      <c r="AC499" s="8"/>
      <c r="AD499" s="8"/>
      <c r="AQ499" s="13"/>
      <c r="AR499" s="13"/>
    </row>
    <row r="500" spans="6:44" x14ac:dyDescent="0.3">
      <c r="F500" s="11"/>
      <c r="G500" s="11"/>
      <c r="AC500" s="8"/>
      <c r="AD500" s="8"/>
    </row>
    <row r="502" spans="6:44" x14ac:dyDescent="0.3">
      <c r="F502" s="11"/>
      <c r="G502" s="11"/>
      <c r="AC502" s="8"/>
      <c r="AD502" s="8"/>
      <c r="AQ502" s="13"/>
      <c r="AR502" s="13"/>
    </row>
    <row r="503" spans="6:44" x14ac:dyDescent="0.3">
      <c r="AC503" s="8"/>
      <c r="AD503" s="8"/>
    </row>
  </sheetData>
  <sortState xmlns:xlrd2="http://schemas.microsoft.com/office/spreadsheetml/2017/richdata2" ref="A8:AS59">
    <sortCondition ref="A8:A59"/>
    <sortCondition ref="C8:C59"/>
  </sortState>
  <phoneticPr fontId="9" type="noConversion"/>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E1CDCF1B325394CBDC07D70A1E02F84" ma:contentTypeVersion="16" ma:contentTypeDescription="Create a new document." ma:contentTypeScope="" ma:versionID="ba7e7ea91249a5d9ba98a5ae19951718">
  <xsd:schema xmlns:xsd="http://www.w3.org/2001/XMLSchema" xmlns:xs="http://www.w3.org/2001/XMLSchema" xmlns:p="http://schemas.microsoft.com/office/2006/metadata/properties" xmlns:ns2="84f96d99-25fa-4dbf-9ee6-c57ef114bc76" xmlns:ns3="9de73e05-a51f-4665-a36e-d8d23f760266" targetNamespace="http://schemas.microsoft.com/office/2006/metadata/properties" ma:root="true" ma:fieldsID="8d327a0775b9946060c887ddb0912223" ns2:_="" ns3:_="">
    <xsd:import namespace="84f96d99-25fa-4dbf-9ee6-c57ef114bc76"/>
    <xsd:import namespace="9de73e05-a51f-4665-a36e-d8d23f76026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LengthInSeconds" minOccurs="0"/>
                <xsd:element ref="ns3:MediaServiceLocation"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4f96d99-25fa-4dbf-9ee6-c57ef114bc76"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bbbd8404-44d2-44e3-848d-c1108630356f}" ma:internalName="TaxCatchAll" ma:showField="CatchAllData" ma:web="84f96d99-25fa-4dbf-9ee6-c57ef114bc7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de73e05-a51f-4665-a36e-d8d23f760266"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ede4ac42-c92e-44ed-b477-fd9213a8d750"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F7C9A8-1822-4367-AFA9-38AB072E91D0}">
  <ds:schemaRefs>
    <ds:schemaRef ds:uri="http://schemas.microsoft.com/DataMashup"/>
  </ds:schemaRefs>
</ds:datastoreItem>
</file>

<file path=customXml/itemProps2.xml><?xml version="1.0" encoding="utf-8"?>
<ds:datastoreItem xmlns:ds="http://schemas.openxmlformats.org/officeDocument/2006/customXml" ds:itemID="{48CFD422-2582-47EF-B2A1-F0E9C86B9BFB}">
  <ds:schemaRefs>
    <ds:schemaRef ds:uri="http://schemas.microsoft.com/sharepoint/v3/contenttype/forms"/>
  </ds:schemaRefs>
</ds:datastoreItem>
</file>

<file path=customXml/itemProps3.xml><?xml version="1.0" encoding="utf-8"?>
<ds:datastoreItem xmlns:ds="http://schemas.openxmlformats.org/officeDocument/2006/customXml" ds:itemID="{BD7AD88A-9ECD-41F4-9CC5-EA34C777B4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4f96d99-25fa-4dbf-9ee6-c57ef114bc76"/>
    <ds:schemaRef ds:uri="9de73e05-a51f-4665-a36e-d8d23f7602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Details</vt:lpstr>
      <vt:lpstr>Sampling Locations</vt:lpstr>
      <vt:lpstr>Property Owners</vt:lpstr>
      <vt:lpstr>Chemical Data</vt:lpstr>
      <vt:lpstr>Dixon Run</vt:lpstr>
      <vt:lpstr>Sample Run</vt:lpstr>
      <vt:lpstr>Penn Run</vt:lpstr>
      <vt:lpstr>Instream 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Ben Hedin</dc:creator>
  <cp:lastModifiedBy>Olivia Weaver</cp:lastModifiedBy>
  <dcterms:created xsi:type="dcterms:W3CDTF">2022-10-12T23:02:55Z</dcterms:created>
  <dcterms:modified xsi:type="dcterms:W3CDTF">2025-06-24T14:03:30Z</dcterms:modified>
</cp:coreProperties>
</file>